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 codeName="{00000000-0000-0000-0000-000000000000}"/>
  <fileSharing readOnlyRecommended="1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income tax 2025\"/>
    </mc:Choice>
  </mc:AlternateContent>
  <xr:revisionPtr revIDLastSave="0" documentId="13_ncr:1_{F6BAE095-E921-4391-AD9D-0857FBD8E044}" xr6:coauthVersionLast="47" xr6:coauthVersionMax="47" xr10:uidLastSave="{00000000-0000-0000-0000-000000000000}"/>
  <bookViews>
    <workbookView xWindow="-120" yWindow="-120" windowWidth="24240" windowHeight="13020" tabRatio="0" xr2:uid="{00000000-000D-0000-FFFF-FFFF00000000}"/>
  </bookViews>
  <sheets>
    <sheet name="Information " sheetId="14" r:id="rId1"/>
    <sheet name="Personal Information" sheetId="4" r:id="rId2"/>
    <sheet name="Details of Deductions" sheetId="15" r:id="rId3"/>
    <sheet name="7th PAY MATRIX TABLE" sheetId="5" r:id="rId4"/>
    <sheet name="Salary Details" sheetId="1" r:id="rId5"/>
    <sheet name="Income Tax Ass Old" sheetId="6" r:id="rId6"/>
    <sheet name="FORM16 old" sheetId="7" r:id="rId7"/>
    <sheet name="Income Tax Ass New." sheetId="2" r:id="rId8"/>
    <sheet name="FORM16 New" sheetId="3" r:id="rId9"/>
    <sheet name="Sheet1" sheetId="8" state="hidden" r:id="rId10"/>
    <sheet name="Sheet2" sheetId="9" state="hidden" r:id="rId11"/>
    <sheet name="Sheet3" sheetId="10" state="hidden" r:id="rId12"/>
    <sheet name="Sheet5" sheetId="12" state="hidden" r:id="rId13"/>
  </sheets>
  <externalReferences>
    <externalReference r:id="rId14"/>
  </externalReferences>
  <definedNames>
    <definedName name="_xlnm._FilterDatabase" localSheetId="1" hidden="1">'Personal Information'!$A$1:$AC$43</definedName>
    <definedName name="B2_" localSheetId="0">'Information '!$CQ$50:$CQ$66</definedName>
    <definedName name="B2_">'Personal Information'!$CI$55:$CI$71</definedName>
    <definedName name="C_" localSheetId="0">'Information '!$CR$50:$CR$66</definedName>
    <definedName name="C_">'Personal Information'!$CJ$55:$CJ$71</definedName>
    <definedName name="Category" localSheetId="0">'Information '!#REF!</definedName>
    <definedName name="Category">'Personal Information'!$B$55:$B$57</definedName>
    <definedName name="other" localSheetId="0">'Information '!$CS$50:$CS$66</definedName>
    <definedName name="other">'Personal Information'!$CK$55:$CK$71</definedName>
    <definedName name="_xlnm.Print_Area" localSheetId="3">'7th PAY MATRIX TABLE'!$A$1:$M$23</definedName>
    <definedName name="_xlnm.Print_Area" localSheetId="2">'Details of Deductions'!$A$1:$K$29</definedName>
    <definedName name="_xlnm.Print_Area" localSheetId="8">'FORM16 New'!$B$1:$AK$134</definedName>
    <definedName name="_xlnm.Print_Area" localSheetId="6">'FORM16 old'!$B$1:$AK$142</definedName>
    <definedName name="_xlnm.Print_Area" localSheetId="7">'Income Tax Ass New.'!$A$1:$J$74</definedName>
    <definedName name="_xlnm.Print_Area" localSheetId="5">'Income Tax Ass Old'!$A$1:$I$78</definedName>
    <definedName name="_xlnm.Print_Area" localSheetId="0">'Information '!$R$1:$CE$32</definedName>
    <definedName name="_xlnm.Print_Area" localSheetId="1">'Personal Information'!$A$1:$BW$50</definedName>
    <definedName name="_xlnm.Print_Area" localSheetId="4">'Salary Details'!$A$1:$W$32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16" i="1" l="1"/>
  <c r="AL16" i="1"/>
  <c r="AQ16" i="1"/>
  <c r="AR16" i="1"/>
  <c r="AC25" i="1"/>
  <c r="N21" i="1" s="1"/>
  <c r="AC26" i="1"/>
  <c r="AK18" i="1"/>
  <c r="AL18" i="1"/>
  <c r="AL20" i="1" s="1"/>
  <c r="AL21" i="1" s="1"/>
  <c r="AG18" i="1"/>
  <c r="D133" i="3"/>
  <c r="E109" i="3"/>
  <c r="E108" i="3"/>
  <c r="E107" i="3"/>
  <c r="E106" i="3"/>
  <c r="E105" i="3"/>
  <c r="E104" i="3"/>
  <c r="E103" i="3"/>
  <c r="E102" i="3"/>
  <c r="E101" i="3"/>
  <c r="E100" i="3"/>
  <c r="E99" i="3"/>
  <c r="Y83" i="3"/>
  <c r="F83" i="3"/>
  <c r="O82" i="3"/>
  <c r="F82" i="3"/>
  <c r="K77" i="3"/>
  <c r="X76" i="3"/>
  <c r="H76" i="3"/>
  <c r="AG73" i="3"/>
  <c r="AG60" i="3"/>
  <c r="AB60" i="3"/>
  <c r="AG59" i="3"/>
  <c r="AB59" i="3"/>
  <c r="AG54" i="3"/>
  <c r="AB54" i="3"/>
  <c r="AQ53" i="3"/>
  <c r="AG53" i="3"/>
  <c r="AB53" i="3"/>
  <c r="W53" i="3"/>
  <c r="AQ52" i="3"/>
  <c r="W52" i="3"/>
  <c r="G52" i="3"/>
  <c r="AP50" i="3"/>
  <c r="W41" i="3"/>
  <c r="P36" i="3"/>
  <c r="P35" i="3"/>
  <c r="P34" i="3"/>
  <c r="W33" i="3"/>
  <c r="AP22" i="3"/>
  <c r="AA22" i="3"/>
  <c r="S22" i="3"/>
  <c r="BX21" i="3"/>
  <c r="BW21" i="3"/>
  <c r="AA21" i="3"/>
  <c r="S21" i="3"/>
  <c r="F21" i="3"/>
  <c r="CA20" i="3"/>
  <c r="BY20" i="3"/>
  <c r="BX20" i="3"/>
  <c r="BW20" i="3"/>
  <c r="AP20" i="3"/>
  <c r="AA20" i="3"/>
  <c r="S20" i="3"/>
  <c r="F20" i="3"/>
  <c r="CA19" i="3"/>
  <c r="BZ19" i="3"/>
  <c r="BY19" i="3"/>
  <c r="BX19" i="3"/>
  <c r="BW19" i="3"/>
  <c r="AA19" i="3"/>
  <c r="S19" i="3"/>
  <c r="F19" i="3"/>
  <c r="CA18" i="3"/>
  <c r="BY18" i="3"/>
  <c r="BX18" i="3"/>
  <c r="BW18" i="3"/>
  <c r="AA18" i="3"/>
  <c r="S18" i="3"/>
  <c r="F18" i="3"/>
  <c r="AP17" i="3"/>
  <c r="AP16" i="3"/>
  <c r="AF12" i="3"/>
  <c r="AA12" i="3"/>
  <c r="Z11" i="3"/>
  <c r="Y11" i="3"/>
  <c r="X11" i="3"/>
  <c r="W11" i="3"/>
  <c r="T11" i="3"/>
  <c r="S11" i="3"/>
  <c r="R11" i="3"/>
  <c r="AH9" i="3"/>
  <c r="AG9" i="3"/>
  <c r="AF9" i="3"/>
  <c r="AE9" i="3"/>
  <c r="AD9" i="3"/>
  <c r="AC9" i="3"/>
  <c r="AB9" i="3"/>
  <c r="AA9" i="3"/>
  <c r="Z9" i="3"/>
  <c r="Y9" i="3"/>
  <c r="X9" i="3"/>
  <c r="W9" i="3"/>
  <c r="V9" i="3"/>
  <c r="U9" i="3"/>
  <c r="T9" i="3"/>
  <c r="S9" i="3"/>
  <c r="R9" i="3"/>
  <c r="Q9" i="3"/>
  <c r="P9" i="3"/>
  <c r="O9" i="3"/>
  <c r="D8" i="3"/>
  <c r="Y7" i="3"/>
  <c r="D7" i="3"/>
  <c r="Y6" i="3"/>
  <c r="X6" i="3"/>
  <c r="W6" i="3"/>
  <c r="V6" i="3"/>
  <c r="U6" i="3"/>
  <c r="T6" i="3"/>
  <c r="S6" i="3"/>
  <c r="R6" i="3"/>
  <c r="Q6" i="3"/>
  <c r="P6" i="3"/>
  <c r="O6" i="3"/>
  <c r="D6" i="3"/>
  <c r="X80" i="2"/>
  <c r="X75" i="2"/>
  <c r="H74" i="2"/>
  <c r="Q73" i="2"/>
  <c r="H73" i="2"/>
  <c r="H72" i="2"/>
  <c r="H71" i="2"/>
  <c r="A71" i="2"/>
  <c r="AA67" i="2"/>
  <c r="AA66" i="2"/>
  <c r="AA65" i="2"/>
  <c r="I65" i="2"/>
  <c r="AA64" i="2"/>
  <c r="AA63" i="2"/>
  <c r="AB62" i="2"/>
  <c r="Y62" i="2"/>
  <c r="G58" i="2"/>
  <c r="O54" i="2"/>
  <c r="S53" i="2"/>
  <c r="I46" i="2"/>
  <c r="I45" i="2"/>
  <c r="S43" i="2"/>
  <c r="D35" i="2"/>
  <c r="I31" i="2"/>
  <c r="I22" i="2"/>
  <c r="Q21" i="2"/>
  <c r="I17" i="2" a="1"/>
  <c r="I17" i="2"/>
  <c r="I16" i="2"/>
  <c r="I14" i="2"/>
  <c r="I13" i="2"/>
  <c r="I10" i="2"/>
  <c r="I9" i="2"/>
  <c r="I8" i="2"/>
  <c r="R7" i="2"/>
  <c r="I7" i="2"/>
  <c r="I6" i="2"/>
  <c r="U5" i="2"/>
  <c r="S5" i="2"/>
  <c r="I4" i="2"/>
  <c r="D4" i="2"/>
  <c r="I3" i="2"/>
  <c r="D3" i="2"/>
  <c r="F2" i="2"/>
  <c r="G1" i="2"/>
  <c r="D141" i="7"/>
  <c r="E117" i="7"/>
  <c r="E116" i="7"/>
  <c r="E115" i="7"/>
  <c r="E114" i="7"/>
  <c r="E113" i="7"/>
  <c r="E112" i="7"/>
  <c r="E111" i="7"/>
  <c r="E110" i="7"/>
  <c r="E109" i="7"/>
  <c r="E108" i="7"/>
  <c r="E107" i="7"/>
  <c r="Y92" i="7"/>
  <c r="F92" i="7"/>
  <c r="O91" i="7"/>
  <c r="F91" i="7"/>
  <c r="K87" i="7"/>
  <c r="X86" i="7"/>
  <c r="H86" i="7"/>
  <c r="AG83" i="7"/>
  <c r="AG73" i="7"/>
  <c r="AB73" i="7"/>
  <c r="W73" i="7"/>
  <c r="AG72" i="7"/>
  <c r="AB72" i="7"/>
  <c r="W72" i="7"/>
  <c r="AG71" i="7"/>
  <c r="AB71" i="7"/>
  <c r="W71" i="7"/>
  <c r="AG70" i="7"/>
  <c r="AB70" i="7"/>
  <c r="W70" i="7"/>
  <c r="AG69" i="7"/>
  <c r="AB69" i="7"/>
  <c r="W62" i="7"/>
  <c r="W61" i="7"/>
  <c r="W60" i="7"/>
  <c r="W59" i="7"/>
  <c r="W58" i="7"/>
  <c r="W57" i="7"/>
  <c r="W56" i="7"/>
  <c r="W55" i="7"/>
  <c r="G54" i="7"/>
  <c r="AP52" i="7"/>
  <c r="W43" i="7"/>
  <c r="W42" i="7"/>
  <c r="P37" i="7"/>
  <c r="P36" i="7"/>
  <c r="P35" i="7"/>
  <c r="P34" i="7"/>
  <c r="W33" i="7"/>
  <c r="P33" i="7"/>
  <c r="AP22" i="7"/>
  <c r="AA22" i="7"/>
  <c r="S22" i="7"/>
  <c r="BX21" i="7"/>
  <c r="BW21" i="7"/>
  <c r="AA21" i="7"/>
  <c r="S21" i="7"/>
  <c r="F21" i="7"/>
  <c r="CA20" i="7"/>
  <c r="BY20" i="7"/>
  <c r="BX20" i="7"/>
  <c r="BW20" i="7"/>
  <c r="AP20" i="7"/>
  <c r="AA20" i="7"/>
  <c r="S20" i="7"/>
  <c r="F20" i="7"/>
  <c r="CA19" i="7"/>
  <c r="BZ19" i="7"/>
  <c r="BY19" i="7"/>
  <c r="BX19" i="7"/>
  <c r="BW19" i="7"/>
  <c r="AA19" i="7"/>
  <c r="S19" i="7"/>
  <c r="F19" i="7"/>
  <c r="CA18" i="7"/>
  <c r="BY18" i="7"/>
  <c r="BX18" i="7"/>
  <c r="BW18" i="7"/>
  <c r="AA18" i="7"/>
  <c r="S18" i="7"/>
  <c r="F18" i="7"/>
  <c r="AP17" i="7"/>
  <c r="AP16" i="7"/>
  <c r="AF12" i="7"/>
  <c r="AA12" i="7"/>
  <c r="Z11" i="7"/>
  <c r="Y11" i="7"/>
  <c r="X11" i="7"/>
  <c r="W11" i="7"/>
  <c r="T11" i="7"/>
  <c r="S11" i="7"/>
  <c r="R11" i="7"/>
  <c r="AH9" i="7"/>
  <c r="AG9" i="7"/>
  <c r="AF9" i="7"/>
  <c r="AE9" i="7"/>
  <c r="AD9" i="7"/>
  <c r="AC9" i="7"/>
  <c r="AB9" i="7"/>
  <c r="AA9" i="7"/>
  <c r="Z9" i="7"/>
  <c r="Y9" i="7"/>
  <c r="X9" i="7"/>
  <c r="W9" i="7"/>
  <c r="V9" i="7"/>
  <c r="U9" i="7"/>
  <c r="T9" i="7"/>
  <c r="S9" i="7"/>
  <c r="R9" i="7"/>
  <c r="Q9" i="7"/>
  <c r="P9" i="7"/>
  <c r="O9" i="7"/>
  <c r="D8" i="7"/>
  <c r="Y7" i="7"/>
  <c r="D7" i="7"/>
  <c r="Y6" i="7"/>
  <c r="X6" i="7"/>
  <c r="W6" i="7"/>
  <c r="V6" i="7"/>
  <c r="U6" i="7"/>
  <c r="T6" i="7"/>
  <c r="S6" i="7"/>
  <c r="R6" i="7"/>
  <c r="Q6" i="7"/>
  <c r="P6" i="7"/>
  <c r="O6" i="7"/>
  <c r="D6" i="7"/>
  <c r="H78" i="6"/>
  <c r="H77" i="6"/>
  <c r="H76" i="6"/>
  <c r="A76" i="6"/>
  <c r="I70" i="6"/>
  <c r="V65" i="6"/>
  <c r="V64" i="6"/>
  <c r="W63" i="6"/>
  <c r="T63" i="6"/>
  <c r="K60" i="6"/>
  <c r="V58" i="6"/>
  <c r="V57" i="6"/>
  <c r="W56" i="6"/>
  <c r="T56" i="6"/>
  <c r="I55" i="6"/>
  <c r="M53" i="6"/>
  <c r="I53" i="6"/>
  <c r="I52" i="6"/>
  <c r="V51" i="6"/>
  <c r="I51" i="6"/>
  <c r="V50" i="6"/>
  <c r="M50" i="6"/>
  <c r="L50" i="6"/>
  <c r="I50" i="6"/>
  <c r="W49" i="6"/>
  <c r="T49" i="6"/>
  <c r="I44" i="6"/>
  <c r="M43" i="6"/>
  <c r="I42" i="6"/>
  <c r="I41" i="6"/>
  <c r="I40" i="6"/>
  <c r="I39" i="6"/>
  <c r="I38" i="6"/>
  <c r="I37" i="6"/>
  <c r="I36" i="6"/>
  <c r="I35" i="6"/>
  <c r="D35" i="6"/>
  <c r="L32" i="6"/>
  <c r="K30" i="6"/>
  <c r="K29" i="6"/>
  <c r="I29" i="6"/>
  <c r="K28" i="6"/>
  <c r="I28" i="6"/>
  <c r="I22" i="6"/>
  <c r="K21" i="6"/>
  <c r="I21" i="6"/>
  <c r="I20" i="6"/>
  <c r="I17" i="6"/>
  <c r="I16" i="6" a="1"/>
  <c r="I16" i="6"/>
  <c r="I14" i="6"/>
  <c r="I12" i="6"/>
  <c r="I10" i="6"/>
  <c r="I9" i="6"/>
  <c r="I8" i="6"/>
  <c r="L7" i="6"/>
  <c r="I7" i="6"/>
  <c r="I6" i="6"/>
  <c r="O5" i="6"/>
  <c r="M5" i="6"/>
  <c r="I4" i="6"/>
  <c r="D4" i="6"/>
  <c r="I3" i="6"/>
  <c r="D3" i="6"/>
  <c r="F2" i="6"/>
  <c r="G1" i="6"/>
  <c r="Y109" i="1"/>
  <c r="Q57" i="1"/>
  <c r="C57" i="1"/>
  <c r="O56" i="1"/>
  <c r="N56" i="1"/>
  <c r="M56" i="1"/>
  <c r="O55" i="1"/>
  <c r="N55" i="1"/>
  <c r="M55" i="1"/>
  <c r="C55" i="1"/>
  <c r="O54" i="1"/>
  <c r="N54" i="1"/>
  <c r="M54" i="1"/>
  <c r="C54" i="1"/>
  <c r="O53" i="1"/>
  <c r="N53" i="1"/>
  <c r="M53" i="1"/>
  <c r="F53" i="1"/>
  <c r="C53" i="1"/>
  <c r="O52" i="1"/>
  <c r="N52" i="1"/>
  <c r="M52" i="1"/>
  <c r="O51" i="1"/>
  <c r="N51" i="1"/>
  <c r="M51" i="1"/>
  <c r="C51" i="1"/>
  <c r="Q50" i="1"/>
  <c r="E49" i="1"/>
  <c r="C49" i="1"/>
  <c r="O48" i="1"/>
  <c r="N48" i="1"/>
  <c r="M48" i="1"/>
  <c r="O47" i="1"/>
  <c r="N47" i="1"/>
  <c r="M47" i="1"/>
  <c r="O46" i="1"/>
  <c r="N46" i="1"/>
  <c r="M46" i="1"/>
  <c r="E46" i="1"/>
  <c r="O45" i="1"/>
  <c r="N45" i="1"/>
  <c r="M45" i="1"/>
  <c r="F45" i="1"/>
  <c r="E45" i="1"/>
  <c r="O44" i="1"/>
  <c r="N44" i="1"/>
  <c r="M44" i="1"/>
  <c r="F39" i="1"/>
  <c r="F38" i="1"/>
  <c r="H35" i="1"/>
  <c r="K34" i="1"/>
  <c r="O32" i="1"/>
  <c r="AD31" i="1"/>
  <c r="O31" i="1"/>
  <c r="AD30" i="1"/>
  <c r="AA30" i="1"/>
  <c r="O30" i="1"/>
  <c r="C30" i="1"/>
  <c r="AF29" i="1"/>
  <c r="AE29" i="1"/>
  <c r="AA29" i="1"/>
  <c r="AF28" i="1"/>
  <c r="AE28" i="1"/>
  <c r="U27" i="1"/>
  <c r="T27" i="1"/>
  <c r="S27" i="1"/>
  <c r="R27" i="1"/>
  <c r="Q27" i="1"/>
  <c r="O27" i="1"/>
  <c r="K27" i="1"/>
  <c r="J27" i="1"/>
  <c r="I27" i="1"/>
  <c r="H27" i="1"/>
  <c r="G27" i="1"/>
  <c r="F27" i="1"/>
  <c r="E27" i="1"/>
  <c r="AE26" i="1"/>
  <c r="V26" i="1"/>
  <c r="W25" i="1"/>
  <c r="V25" i="1"/>
  <c r="M25" i="1"/>
  <c r="E25" i="1"/>
  <c r="W24" i="1"/>
  <c r="V24" i="1"/>
  <c r="S24" i="1"/>
  <c r="R24" i="1"/>
  <c r="N24" i="1"/>
  <c r="M24" i="1"/>
  <c r="E24" i="1"/>
  <c r="W23" i="1"/>
  <c r="V23" i="1"/>
  <c r="S23" i="1"/>
  <c r="R23" i="1"/>
  <c r="N23" i="1"/>
  <c r="M23" i="1"/>
  <c r="AF22" i="1"/>
  <c r="AE22" i="1"/>
  <c r="AD22" i="1"/>
  <c r="AC22" i="1"/>
  <c r="N22" i="1"/>
  <c r="W22" i="1" s="1"/>
  <c r="M22" i="1"/>
  <c r="H22" i="1"/>
  <c r="AH21" i="1"/>
  <c r="M21" i="1"/>
  <c r="H21" i="1"/>
  <c r="W20" i="1"/>
  <c r="V20" i="1"/>
  <c r="M20" i="1"/>
  <c r="E20" i="1"/>
  <c r="AR19" i="1"/>
  <c r="AQ19" i="1"/>
  <c r="AL19" i="1"/>
  <c r="AK19" i="1"/>
  <c r="AI19" i="1"/>
  <c r="AH19" i="1"/>
  <c r="AG19" i="1"/>
  <c r="AD19" i="1"/>
  <c r="AC19" i="1"/>
  <c r="AA19" i="1"/>
  <c r="Y19" i="1"/>
  <c r="X19" i="1"/>
  <c r="W19" i="1"/>
  <c r="V19" i="1"/>
  <c r="T19" i="1"/>
  <c r="S19" i="1"/>
  <c r="Q19" i="1"/>
  <c r="P19" i="1"/>
  <c r="O19" i="1"/>
  <c r="N19" i="1"/>
  <c r="M19" i="1"/>
  <c r="L19" i="1"/>
  <c r="K19" i="1"/>
  <c r="J19" i="1"/>
  <c r="I19" i="1"/>
  <c r="H19" i="1"/>
  <c r="F19" i="1"/>
  <c r="E19" i="1"/>
  <c r="D19" i="1"/>
  <c r="AQ18" i="1"/>
  <c r="AR18" i="1" s="1"/>
  <c r="AI18" i="1"/>
  <c r="AH18" i="1"/>
  <c r="N18" i="1" s="1"/>
  <c r="AE18" i="1"/>
  <c r="AD18" i="1"/>
  <c r="AC18" i="1"/>
  <c r="AA18" i="1"/>
  <c r="Y18" i="1"/>
  <c r="X18" i="1"/>
  <c r="T18" i="1"/>
  <c r="S18" i="1"/>
  <c r="R18" i="1"/>
  <c r="Q18" i="1"/>
  <c r="O18" i="1"/>
  <c r="K18" i="1"/>
  <c r="J18" i="1"/>
  <c r="I18" i="1"/>
  <c r="H18" i="1"/>
  <c r="F18" i="1"/>
  <c r="E18" i="1"/>
  <c r="D18" i="1"/>
  <c r="AR17" i="1"/>
  <c r="AQ17" i="1"/>
  <c r="AL17" i="1"/>
  <c r="AK17" i="1"/>
  <c r="AI17" i="1"/>
  <c r="AH17" i="1"/>
  <c r="AG17" i="1"/>
  <c r="AE17" i="1"/>
  <c r="AD17" i="1"/>
  <c r="AC17" i="1"/>
  <c r="AA17" i="1"/>
  <c r="Y17" i="1"/>
  <c r="X17" i="1"/>
  <c r="W17" i="1"/>
  <c r="V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F17" i="1"/>
  <c r="E17" i="1"/>
  <c r="D17" i="1"/>
  <c r="AI16" i="1"/>
  <c r="AH16" i="1"/>
  <c r="AG16" i="1"/>
  <c r="AE16" i="1"/>
  <c r="AD16" i="1"/>
  <c r="AC16" i="1"/>
  <c r="AA16" i="1"/>
  <c r="Y16" i="1"/>
  <c r="X16" i="1"/>
  <c r="T16" i="1"/>
  <c r="S16" i="1"/>
  <c r="R16" i="1"/>
  <c r="Q16" i="1"/>
  <c r="O16" i="1"/>
  <c r="N16" i="1"/>
  <c r="L16" i="1"/>
  <c r="P16" i="1" s="1"/>
  <c r="V16" i="1" s="1"/>
  <c r="K16" i="1"/>
  <c r="J16" i="1"/>
  <c r="I16" i="1"/>
  <c r="H16" i="1"/>
  <c r="F16" i="1"/>
  <c r="E16" i="1"/>
  <c r="D16" i="1"/>
  <c r="AR15" i="1"/>
  <c r="AQ15" i="1"/>
  <c r="AL15" i="1"/>
  <c r="AK15" i="1"/>
  <c r="AI15" i="1"/>
  <c r="AH15" i="1"/>
  <c r="AG15" i="1"/>
  <c r="AE15" i="1"/>
  <c r="AC15" i="1"/>
  <c r="AA15" i="1"/>
  <c r="Y15" i="1"/>
  <c r="X15" i="1"/>
  <c r="W15" i="1"/>
  <c r="V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F15" i="1"/>
  <c r="E15" i="1"/>
  <c r="D15" i="1"/>
  <c r="AR14" i="1"/>
  <c r="AQ14" i="1"/>
  <c r="AL14" i="1"/>
  <c r="AK14" i="1"/>
  <c r="AI14" i="1"/>
  <c r="AH14" i="1"/>
  <c r="AG14" i="1"/>
  <c r="AE14" i="1"/>
  <c r="AC14" i="1"/>
  <c r="AA14" i="1"/>
  <c r="Z14" i="1"/>
  <c r="Y14" i="1"/>
  <c r="X14" i="1"/>
  <c r="W14" i="1"/>
  <c r="V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F14" i="1"/>
  <c r="E14" i="1"/>
  <c r="D14" i="1"/>
  <c r="AR13" i="1"/>
  <c r="AQ13" i="1"/>
  <c r="AL13" i="1"/>
  <c r="AK13" i="1"/>
  <c r="AI13" i="1"/>
  <c r="AH13" i="1"/>
  <c r="AG13" i="1"/>
  <c r="AE13" i="1"/>
  <c r="AC13" i="1"/>
  <c r="AA13" i="1"/>
  <c r="Z13" i="1"/>
  <c r="Y13" i="1"/>
  <c r="X13" i="1"/>
  <c r="W13" i="1"/>
  <c r="V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F13" i="1"/>
  <c r="E13" i="1"/>
  <c r="D13" i="1"/>
  <c r="AR12" i="1"/>
  <c r="AQ12" i="1"/>
  <c r="AL12" i="1"/>
  <c r="AK12" i="1"/>
  <c r="AI12" i="1"/>
  <c r="AH12" i="1"/>
  <c r="AG12" i="1"/>
  <c r="AE12" i="1"/>
  <c r="AC12" i="1"/>
  <c r="AA12" i="1"/>
  <c r="Z12" i="1"/>
  <c r="Y12" i="1"/>
  <c r="X12" i="1"/>
  <c r="W12" i="1"/>
  <c r="V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F12" i="1"/>
  <c r="E12" i="1"/>
  <c r="D12" i="1"/>
  <c r="AR11" i="1"/>
  <c r="AQ11" i="1"/>
  <c r="AL11" i="1"/>
  <c r="AK11" i="1"/>
  <c r="AI11" i="1"/>
  <c r="AH11" i="1"/>
  <c r="AG11" i="1"/>
  <c r="AE11" i="1"/>
  <c r="AC11" i="1"/>
  <c r="AA11" i="1"/>
  <c r="Z11" i="1"/>
  <c r="Y11" i="1"/>
  <c r="X11" i="1"/>
  <c r="W11" i="1"/>
  <c r="V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F11" i="1"/>
  <c r="E11" i="1"/>
  <c r="D11" i="1"/>
  <c r="AR10" i="1"/>
  <c r="AQ10" i="1"/>
  <c r="AL10" i="1"/>
  <c r="AK10" i="1"/>
  <c r="AI10" i="1"/>
  <c r="AH10" i="1"/>
  <c r="AG10" i="1"/>
  <c r="AE10" i="1"/>
  <c r="AD10" i="1"/>
  <c r="AC10" i="1"/>
  <c r="AA10" i="1"/>
  <c r="Z10" i="1"/>
  <c r="Y10" i="1"/>
  <c r="X10" i="1"/>
  <c r="W10" i="1"/>
  <c r="V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F10" i="1"/>
  <c r="E10" i="1"/>
  <c r="D10" i="1"/>
  <c r="AR9" i="1"/>
  <c r="AQ9" i="1"/>
  <c r="AL9" i="1"/>
  <c r="AK9" i="1"/>
  <c r="AI9" i="1"/>
  <c r="AH9" i="1"/>
  <c r="AG9" i="1"/>
  <c r="AE9" i="1"/>
  <c r="AD9" i="1"/>
  <c r="AC9" i="1"/>
  <c r="AA9" i="1"/>
  <c r="Z9" i="1"/>
  <c r="Y9" i="1"/>
  <c r="X9" i="1"/>
  <c r="W9" i="1"/>
  <c r="V9" i="1"/>
  <c r="T9" i="1"/>
  <c r="S9" i="1"/>
  <c r="R9" i="1"/>
  <c r="Q9" i="1"/>
  <c r="P9" i="1"/>
  <c r="O9" i="1"/>
  <c r="N9" i="1"/>
  <c r="M9" i="1"/>
  <c r="L9" i="1"/>
  <c r="K9" i="1"/>
  <c r="J9" i="1"/>
  <c r="I9" i="1"/>
  <c r="H9" i="1"/>
  <c r="F9" i="1"/>
  <c r="E9" i="1"/>
  <c r="D9" i="1"/>
  <c r="AR8" i="1"/>
  <c r="AQ8" i="1"/>
  <c r="AL8" i="1"/>
  <c r="AK8" i="1"/>
  <c r="AI8" i="1"/>
  <c r="AH8" i="1"/>
  <c r="AG8" i="1"/>
  <c r="AE8" i="1"/>
  <c r="AD8" i="1"/>
  <c r="AA8" i="1"/>
  <c r="Z8" i="1"/>
  <c r="Y8" i="1"/>
  <c r="X8" i="1"/>
  <c r="W8" i="1"/>
  <c r="V8" i="1"/>
  <c r="T8" i="1"/>
  <c r="S8" i="1"/>
  <c r="R8" i="1"/>
  <c r="Q8" i="1"/>
  <c r="P8" i="1"/>
  <c r="N8" i="1"/>
  <c r="M8" i="1"/>
  <c r="L8" i="1"/>
  <c r="K8" i="1"/>
  <c r="J8" i="1"/>
  <c r="I8" i="1"/>
  <c r="H8" i="1"/>
  <c r="E8" i="1"/>
  <c r="D8" i="1"/>
  <c r="N7" i="1"/>
  <c r="AC6" i="1"/>
  <c r="N6" i="1"/>
  <c r="AG5" i="1"/>
  <c r="AC5" i="1"/>
  <c r="M4" i="1"/>
  <c r="J4" i="1"/>
  <c r="F4" i="1"/>
  <c r="O3" i="1"/>
  <c r="F3" i="1"/>
  <c r="O2" i="1"/>
  <c r="F2" i="1"/>
  <c r="Q1" i="1"/>
  <c r="F21" i="15"/>
  <c r="B20" i="15"/>
  <c r="E19" i="15"/>
  <c r="D19" i="15"/>
  <c r="B19" i="15"/>
  <c r="F17" i="15"/>
  <c r="F4" i="15"/>
  <c r="B3" i="15"/>
  <c r="A2" i="15"/>
  <c r="AE108" i="4"/>
  <c r="AF105" i="4"/>
  <c r="AI104" i="4"/>
  <c r="AE104" i="4"/>
  <c r="AI101" i="4"/>
  <c r="AE101" i="4"/>
  <c r="B98" i="4"/>
  <c r="B97" i="4"/>
  <c r="AE96" i="4"/>
  <c r="Q55" i="4"/>
  <c r="AI48" i="4"/>
  <c r="AE44" i="4"/>
  <c r="AL43" i="4"/>
  <c r="AK43" i="4"/>
  <c r="T43" i="4"/>
  <c r="N43" i="4"/>
  <c r="AL42" i="4"/>
  <c r="AK42" i="4"/>
  <c r="BC41" i="4"/>
  <c r="AL41" i="4"/>
  <c r="AK41" i="4"/>
  <c r="BC40" i="4"/>
  <c r="AL40" i="4"/>
  <c r="AK40" i="4"/>
  <c r="AF38" i="4"/>
  <c r="AF37" i="4"/>
  <c r="AF36" i="4"/>
  <c r="AF35" i="4"/>
  <c r="AF34" i="4"/>
  <c r="AL33" i="4"/>
  <c r="AF33" i="4"/>
  <c r="T33" i="4"/>
  <c r="AF32" i="4"/>
  <c r="T32" i="4"/>
  <c r="AS31" i="4"/>
  <c r="AK31" i="4"/>
  <c r="AF31" i="4"/>
  <c r="T31" i="4"/>
  <c r="AF30" i="4"/>
  <c r="AF29" i="4"/>
  <c r="AF28" i="4"/>
  <c r="X27" i="4"/>
  <c r="AK26" i="4"/>
  <c r="X26" i="4"/>
  <c r="AK25" i="4"/>
  <c r="AF25" i="4"/>
  <c r="X25" i="4"/>
  <c r="AK24" i="4"/>
  <c r="AF24" i="4"/>
  <c r="X24" i="4"/>
  <c r="AK23" i="4"/>
  <c r="AF23" i="4"/>
  <c r="X23" i="4"/>
  <c r="AK22" i="4"/>
  <c r="AF22" i="4"/>
  <c r="X22" i="4"/>
  <c r="AK21" i="4"/>
  <c r="AF21" i="4"/>
  <c r="X21" i="4"/>
  <c r="AK20" i="4"/>
  <c r="AF20" i="4"/>
  <c r="X20" i="4"/>
  <c r="AK19" i="4"/>
  <c r="AF19" i="4"/>
  <c r="X19" i="4"/>
  <c r="AL18" i="4"/>
  <c r="AK18" i="4"/>
  <c r="AF18" i="4"/>
  <c r="X18" i="4"/>
  <c r="AK17" i="4"/>
  <c r="AF17" i="4"/>
  <c r="X17" i="4"/>
  <c r="C17" i="4"/>
  <c r="AK16" i="4"/>
  <c r="AF16" i="4"/>
  <c r="H16" i="4"/>
  <c r="C16" i="4"/>
  <c r="AK15" i="4"/>
  <c r="AF15" i="4"/>
  <c r="CH14" i="4"/>
  <c r="AK14" i="4"/>
  <c r="AF14" i="4"/>
  <c r="CH13" i="4"/>
  <c r="CH12" i="4"/>
  <c r="AL12" i="4"/>
  <c r="Y12" i="4"/>
  <c r="T12" i="4"/>
  <c r="G12" i="4"/>
  <c r="CH11" i="4"/>
  <c r="AJ11" i="4"/>
  <c r="AH11" i="4"/>
  <c r="CH10" i="4"/>
  <c r="AL10" i="4"/>
  <c r="AF10" i="4"/>
  <c r="J10" i="4"/>
  <c r="CH9" i="4"/>
  <c r="AF9" i="4"/>
  <c r="CH8" i="4"/>
  <c r="AJ8" i="4"/>
  <c r="AA8" i="4"/>
  <c r="M8" i="4"/>
  <c r="CH7" i="4"/>
  <c r="AJ7" i="4"/>
  <c r="AA7" i="4"/>
  <c r="CH6" i="4"/>
  <c r="AH6" i="4"/>
  <c r="AF6" i="4"/>
  <c r="AE6" i="4"/>
  <c r="CH5" i="4"/>
  <c r="AF3" i="4"/>
  <c r="C105" i="14"/>
  <c r="D102" i="14"/>
  <c r="G101" i="14"/>
  <c r="C101" i="14"/>
  <c r="G98" i="14"/>
  <c r="C98" i="14"/>
  <c r="G45" i="14"/>
  <c r="D44" i="14"/>
  <c r="BK43" i="14"/>
  <c r="D43" i="14"/>
  <c r="BK42" i="14"/>
  <c r="D42" i="14"/>
  <c r="D41" i="14"/>
  <c r="J40" i="14"/>
  <c r="D40" i="14"/>
  <c r="D39" i="14"/>
  <c r="I38" i="14"/>
  <c r="D38" i="14"/>
  <c r="D37" i="14"/>
  <c r="D36" i="14"/>
  <c r="D35" i="14"/>
  <c r="I33" i="14"/>
  <c r="I32" i="14"/>
  <c r="D32" i="14"/>
  <c r="I31" i="14"/>
  <c r="D31" i="14"/>
  <c r="I30" i="14"/>
  <c r="D30" i="14"/>
  <c r="I29" i="14"/>
  <c r="D29" i="14"/>
  <c r="I28" i="14"/>
  <c r="D28" i="14"/>
  <c r="I27" i="14"/>
  <c r="D27" i="14"/>
  <c r="I26" i="14"/>
  <c r="D26" i="14"/>
  <c r="J25" i="14"/>
  <c r="I25" i="14"/>
  <c r="D25" i="14"/>
  <c r="I24" i="14"/>
  <c r="D24" i="14"/>
  <c r="I23" i="14"/>
  <c r="D23" i="14"/>
  <c r="I22" i="14"/>
  <c r="D22" i="14"/>
  <c r="I21" i="14"/>
  <c r="D21" i="14"/>
  <c r="CP19" i="14"/>
  <c r="J19" i="14"/>
  <c r="CP18" i="14"/>
  <c r="F18" i="14"/>
  <c r="CP17" i="14"/>
  <c r="J17" i="14"/>
  <c r="D17" i="14"/>
  <c r="CP16" i="14"/>
  <c r="D16" i="14"/>
  <c r="CP15" i="14"/>
  <c r="H15" i="14"/>
  <c r="CP14" i="14"/>
  <c r="H14" i="14"/>
  <c r="CP13" i="14"/>
  <c r="F13" i="14"/>
  <c r="D13" i="14"/>
  <c r="C13" i="14"/>
  <c r="CP12" i="14"/>
  <c r="CP10" i="14"/>
  <c r="CP9" i="14"/>
  <c r="D9" i="14"/>
  <c r="M16" i="1" l="1"/>
  <c r="W16" i="1" s="1"/>
  <c r="V22" i="1"/>
  <c r="W21" i="1"/>
  <c r="V21" i="1"/>
  <c r="L18" i="1"/>
  <c r="L27" i="1" s="1"/>
  <c r="I13" i="6" s="1"/>
  <c r="M18" i="1"/>
  <c r="M27" i="1" s="1"/>
  <c r="P18" i="1"/>
  <c r="P27" i="1" s="1"/>
  <c r="N27" i="1"/>
  <c r="V18" i="1"/>
  <c r="Y24" i="1" l="1"/>
  <c r="Y26" i="1" s="1"/>
  <c r="I49" i="6"/>
  <c r="W65" i="7" s="1"/>
  <c r="I12" i="2"/>
  <c r="I15" i="2" s="1"/>
  <c r="I18" i="2" s="1"/>
  <c r="I15" i="6"/>
  <c r="I18" i="6" s="1"/>
  <c r="I49" i="2"/>
  <c r="W18" i="1"/>
  <c r="W27" i="1" s="1"/>
  <c r="V27" i="1"/>
  <c r="V7" i="2"/>
  <c r="P8" i="6"/>
  <c r="P7" i="6"/>
  <c r="Q43" i="2"/>
  <c r="AQ54" i="7"/>
  <c r="V8" i="2"/>
  <c r="K43" i="6"/>
  <c r="I24" i="6" l="1"/>
  <c r="W25" i="7"/>
  <c r="AB30" i="7" s="1"/>
  <c r="AB38" i="7" s="1"/>
  <c r="I25" i="6"/>
  <c r="W40" i="7" s="1"/>
  <c r="AB44" i="7" s="1"/>
  <c r="I50" i="2"/>
  <c r="W55" i="3"/>
  <c r="I24" i="2"/>
  <c r="W25" i="3"/>
  <c r="AB30" i="3" s="1"/>
  <c r="AB37" i="3" s="1"/>
  <c r="AG65" i="7"/>
  <c r="AB65" i="7"/>
  <c r="R49" i="2"/>
  <c r="R43" i="2"/>
  <c r="T47" i="2"/>
  <c r="R46" i="2"/>
  <c r="Q49" i="2" s="1"/>
  <c r="R57" i="2" s="1"/>
  <c r="L48" i="6"/>
  <c r="L46" i="6"/>
  <c r="K48" i="6" s="1"/>
  <c r="L56" i="6" s="1"/>
  <c r="I48" i="6" s="1"/>
  <c r="L43" i="6"/>
  <c r="I43" i="6" s="1"/>
  <c r="AG45" i="7" l="1"/>
  <c r="AG50" i="7" s="1"/>
  <c r="I30" i="6"/>
  <c r="I32" i="6" s="1"/>
  <c r="AG55" i="3"/>
  <c r="AG64" i="3" s="1"/>
  <c r="AB55" i="3"/>
  <c r="I30" i="2"/>
  <c r="W39" i="3" s="1"/>
  <c r="AB42" i="3" s="1"/>
  <c r="AG43" i="3" s="1"/>
  <c r="AG48" i="3" s="1"/>
  <c r="I29" i="2"/>
  <c r="I32" i="2"/>
  <c r="I52" i="2" s="1"/>
  <c r="I56" i="6"/>
  <c r="W64" i="7"/>
  <c r="AB64" i="7" s="1"/>
  <c r="AG64" i="7" s="1"/>
  <c r="E7" i="15"/>
  <c r="AQ56" i="7"/>
  <c r="W54" i="7" s="1"/>
  <c r="W63" i="7" s="1"/>
  <c r="AB63" i="7" s="1"/>
  <c r="AG63" i="7" s="1"/>
  <c r="AG74" i="7" s="1"/>
  <c r="E6" i="15"/>
  <c r="I45" i="6"/>
  <c r="AG65" i="3" l="1"/>
  <c r="AG75" i="7"/>
  <c r="T70" i="2"/>
  <c r="I54" i="2" s="1"/>
  <c r="Q66" i="2" s="1" a="1"/>
  <c r="Q66" i="2" s="1"/>
  <c r="Q62" i="2"/>
  <c r="Q69" i="2"/>
  <c r="AB63" i="2"/>
  <c r="Q68" i="2"/>
  <c r="N68" i="2"/>
  <c r="N63" i="2"/>
  <c r="I56" i="2" s="1"/>
  <c r="AG66" i="3"/>
  <c r="Q71" i="2"/>
  <c r="R71" i="2" s="1"/>
  <c r="F12" i="15"/>
  <c r="I46" i="6"/>
  <c r="AB64" i="2" l="1"/>
  <c r="Y63" i="2"/>
  <c r="I58" i="6"/>
  <c r="I57" i="6"/>
  <c r="A59" i="2" l="1"/>
  <c r="Y64" i="2"/>
  <c r="C59" i="2" s="1"/>
  <c r="AB65" i="2"/>
  <c r="AG76" i="7"/>
  <c r="K64" i="6"/>
  <c r="F6" i="15"/>
  <c r="W57" i="6"/>
  <c r="L73" i="6"/>
  <c r="I66" i="6" s="1"/>
  <c r="K68" i="6" s="1"/>
  <c r="V59" i="6"/>
  <c r="K66" i="6"/>
  <c r="L66" i="6" s="1"/>
  <c r="W64" i="6"/>
  <c r="M78" i="6"/>
  <c r="W50" i="6"/>
  <c r="V52" i="6"/>
  <c r="N64" i="6"/>
  <c r="I60" i="6" s="1"/>
  <c r="K63" i="6" s="1"/>
  <c r="I62" i="6" s="1"/>
  <c r="AB66" i="2" l="1"/>
  <c r="Y65" i="2"/>
  <c r="D59" i="2" s="1"/>
  <c r="W51" i="6"/>
  <c r="T50" i="6"/>
  <c r="W65" i="6"/>
  <c r="T65" i="6" s="1"/>
  <c r="T64" i="6"/>
  <c r="T57" i="6"/>
  <c r="W58" i="6"/>
  <c r="T66" i="6" l="1"/>
  <c r="AB67" i="2"/>
  <c r="Y67" i="2" s="1"/>
  <c r="F59" i="2" s="1"/>
  <c r="Y66" i="2"/>
  <c r="W59" i="6"/>
  <c r="T59" i="6" s="1"/>
  <c r="T58" i="6"/>
  <c r="T51" i="6"/>
  <c r="W52" i="6"/>
  <c r="T52" i="6" s="1"/>
  <c r="T60" i="6" l="1"/>
  <c r="E59" i="2"/>
  <c r="Y68" i="2"/>
  <c r="T53" i="6"/>
  <c r="K62" i="6" s="1"/>
  <c r="I61" i="6" s="1"/>
  <c r="I65" i="6" s="1"/>
  <c r="AG79" i="7" s="1"/>
  <c r="AG78" i="7" l="1"/>
  <c r="AG80" i="7" s="1"/>
  <c r="G59" i="2"/>
  <c r="T66" i="2"/>
  <c r="I55" i="2" s="1"/>
  <c r="I68" i="6"/>
  <c r="N61" i="2" l="1"/>
  <c r="I61" i="2"/>
  <c r="AG69" i="3" s="1"/>
  <c r="I63" i="2"/>
  <c r="AG68" i="3"/>
  <c r="L70" i="6"/>
  <c r="K70" i="6"/>
  <c r="AG70" i="3" l="1"/>
  <c r="Q75" i="2"/>
  <c r="R75" i="2"/>
  <c r="I64" i="2" s="1"/>
  <c r="I69" i="6"/>
  <c r="I66" i="2" l="1"/>
  <c r="AG71" i="3"/>
  <c r="AG81" i="7"/>
  <c r="I71" i="6"/>
  <c r="AG74" i="3" l="1"/>
  <c r="D78" i="3"/>
  <c r="BY21" i="3"/>
  <c r="CA21" i="3" s="1"/>
  <c r="I67" i="2"/>
  <c r="E110" i="3"/>
  <c r="E113" i="3" s="1"/>
  <c r="BY21" i="7"/>
  <c r="CA21" i="7" s="1"/>
  <c r="E118" i="7"/>
  <c r="E121" i="7" s="1"/>
  <c r="I72" i="6"/>
  <c r="AG84" i="7"/>
  <c r="D88" i="7"/>
  <c r="I68" i="2" l="1"/>
  <c r="B27" i="15"/>
  <c r="BJ34" i="4" s="1"/>
  <c r="I73" i="6"/>
  <c r="A27" i="15"/>
  <c r="BC34" i="4" l="1"/>
  <c r="D29" i="15"/>
  <c r="D32" i="15" s="1"/>
  <c r="BC30" i="4" l="1"/>
  <c r="T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aoc</author>
  </authors>
  <commentList>
    <comment ref="AA14" authorId="0" shapeId="0" xr:uid="{00000000-0006-0000-0100-000001000000}">
      <text>
        <r>
          <rPr>
            <b/>
            <sz val="9"/>
            <rFont val="Tahoma"/>
            <charset val="134"/>
          </rPr>
          <t>VIKAS:</t>
        </r>
        <r>
          <rPr>
            <sz val="9"/>
            <rFont val="Tahoma"/>
            <charset val="134"/>
          </rPr>
          <t xml:space="preserve">
</t>
        </r>
        <r>
          <rPr>
            <sz val="9"/>
            <color indexed="10"/>
            <rFont val="Tahoma"/>
            <charset val="134"/>
          </rPr>
          <t>AGR AAP BORDER ALLO LE RHE HAI TO SALARY DEAILS WALI SHEET PR HDA  (0) KR DE</t>
        </r>
        <r>
          <rPr>
            <sz val="9"/>
            <rFont val="Tahoma"/>
            <charset val="134"/>
          </rPr>
          <t xml:space="preserve"> 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<sst xmlns="http://schemas.openxmlformats.org/spreadsheetml/2006/main" count="1205" uniqueCount="595">
  <si>
    <t>Income Tax Calculator For Fy 2024-25</t>
  </si>
  <si>
    <t>Calculator is Designed By  - Vikas Dabral, Chief Assistant</t>
  </si>
  <si>
    <t>Personal Information</t>
  </si>
  <si>
    <t xml:space="preserve">Mobile No - 9548541114, E-Mail- vikasdabral97@gmail.com, web- www.emou.co.in </t>
  </si>
  <si>
    <t>Salary Details</t>
  </si>
  <si>
    <r>
      <rPr>
        <b/>
        <sz val="12"/>
        <color rgb="FFFF0000"/>
        <rFont val="Times New Roman"/>
        <charset val="134"/>
      </rPr>
      <t>PERSONAL INFORMATION</t>
    </r>
    <r>
      <rPr>
        <b/>
        <sz val="12"/>
        <color rgb="FFFF0000"/>
        <rFont val="Kruti Dev 010"/>
        <charset val="134"/>
      </rPr>
      <t xml:space="preserve"> ij lQsn jax ds dkWye ij</t>
    </r>
    <r>
      <rPr>
        <b/>
        <sz val="16"/>
        <color rgb="FFFF0000"/>
        <rFont val="Kruti Dev 010"/>
        <charset val="134"/>
      </rPr>
      <t xml:space="preserve"> gh fooj.k Hkjk tk;sxk A</t>
    </r>
  </si>
  <si>
    <r>
      <rPr>
        <b/>
        <sz val="12"/>
        <color rgb="FF002060"/>
        <rFont val="Arial Narrow"/>
        <charset val="134"/>
      </rPr>
      <t>1</t>
    </r>
    <r>
      <rPr>
        <b/>
        <sz val="12"/>
        <color rgb="FF002060"/>
        <rFont val="Times New Roman"/>
        <charset val="134"/>
      </rPr>
      <t xml:space="preserve">    </t>
    </r>
    <r>
      <rPr>
        <b/>
        <sz val="12"/>
        <color rgb="FF002060"/>
        <rFont val="Kruti Dev 010"/>
        <charset val="134"/>
      </rPr>
      <t xml:space="preserve">&amp; tUe frfFk Hkjuk vfuokZ; gS A vU; dkWye ij dkbZ Hkh ifjorZu uk djsa ifjorZu djus ij </t>
    </r>
    <r>
      <rPr>
        <b/>
        <sz val="12"/>
        <color rgb="FF002060"/>
        <rFont val="Times New Roman"/>
        <charset val="134"/>
      </rPr>
      <t>Calculator</t>
    </r>
    <r>
      <rPr>
        <b/>
        <sz val="12"/>
        <color rgb="FF002060"/>
        <rFont val="Kruti Dev 010"/>
        <charset val="134"/>
      </rPr>
      <t xml:space="preserve"> ij</t>
    </r>
  </si>
  <si>
    <t xml:space="preserve">     dk;Z djuk lEHko ugh gksxk A </t>
  </si>
  <si>
    <t xml:space="preserve">                        </t>
  </si>
  <si>
    <t>MATRIX TABLE</t>
  </si>
  <si>
    <t xml:space="preserve">        15600-39100</t>
  </si>
  <si>
    <r>
      <rPr>
        <b/>
        <sz val="12"/>
        <color rgb="FF002060"/>
        <rFont val="Arial Narrow"/>
        <charset val="134"/>
      </rPr>
      <t>2</t>
    </r>
    <r>
      <rPr>
        <b/>
        <sz val="12"/>
        <color rgb="FF002060"/>
        <rFont val="Times New Roman"/>
        <charset val="134"/>
      </rPr>
      <t xml:space="preserve">    </t>
    </r>
    <r>
      <rPr>
        <b/>
        <sz val="12"/>
        <color rgb="FF002060"/>
        <rFont val="Kruti Dev 010"/>
        <charset val="134"/>
      </rPr>
      <t xml:space="preserve">&amp; xzsM is Hkjuk vfuokZ; gSaA </t>
    </r>
  </si>
  <si>
    <r>
      <rPr>
        <b/>
        <sz val="12"/>
        <color rgb="FF002060"/>
        <rFont val="Arial Narrow"/>
        <charset val="134"/>
      </rPr>
      <t>3</t>
    </r>
    <r>
      <rPr>
        <b/>
        <sz val="12"/>
        <color rgb="FF002060"/>
        <rFont val="Times New Roman"/>
        <charset val="134"/>
      </rPr>
      <t xml:space="preserve">    </t>
    </r>
    <r>
      <rPr>
        <b/>
        <sz val="12"/>
        <color rgb="FF002060"/>
        <rFont val="Kruti Dev 010"/>
        <charset val="134"/>
      </rPr>
      <t xml:space="preserve">&amp; </t>
    </r>
    <r>
      <rPr>
        <b/>
        <sz val="12"/>
        <color rgb="FF002060"/>
        <rFont val="Times New Roman"/>
        <charset val="134"/>
      </rPr>
      <t>Increment Month</t>
    </r>
    <r>
      <rPr>
        <b/>
        <sz val="12"/>
        <color rgb="FF002060"/>
        <rFont val="Kruti Dev 010"/>
        <charset val="134"/>
      </rPr>
      <t xml:space="preserve"> Hkj dj </t>
    </r>
    <r>
      <rPr>
        <b/>
        <sz val="12"/>
        <color rgb="FF002060"/>
        <rFont val="Times New Roman"/>
        <charset val="134"/>
      </rPr>
      <t xml:space="preserve">After Increment Basic Pay </t>
    </r>
    <r>
      <rPr>
        <b/>
        <sz val="12"/>
        <color rgb="FF002060"/>
        <rFont val="Kruti Dev 010"/>
        <charset val="134"/>
      </rPr>
      <t xml:space="preserve">vius vki “kks gksxh </t>
    </r>
  </si>
  <si>
    <t>7th PAY MATRIX TABLE</t>
  </si>
  <si>
    <r>
      <rPr>
        <b/>
        <sz val="11"/>
        <rFont val="Calibri"/>
        <charset val="134"/>
        <scheme val="minor"/>
      </rPr>
      <t>Pay Band</t>
    </r>
    <r>
      <rPr>
        <b/>
        <sz val="11"/>
        <rFont val="Wingdings"/>
        <charset val="2"/>
      </rPr>
      <t>ð</t>
    </r>
  </si>
  <si>
    <t xml:space="preserve">                 5200-20200</t>
  </si>
  <si>
    <t xml:space="preserve">             9300-34800</t>
  </si>
  <si>
    <r>
      <rPr>
        <b/>
        <sz val="12"/>
        <color rgb="FF002060"/>
        <rFont val="Arial Narrow"/>
        <charset val="134"/>
      </rPr>
      <t>4</t>
    </r>
    <r>
      <rPr>
        <b/>
        <sz val="12"/>
        <color rgb="FF002060"/>
        <rFont val="Times New Roman"/>
        <charset val="134"/>
      </rPr>
      <t xml:space="preserve">    </t>
    </r>
    <r>
      <rPr>
        <b/>
        <sz val="12"/>
        <color rgb="FF002060"/>
        <rFont val="Kruti Dev 010"/>
        <charset val="134"/>
      </rPr>
      <t xml:space="preserve">&amp; vxj vkids dk;kZy; esa </t>
    </r>
    <r>
      <rPr>
        <b/>
        <sz val="12"/>
        <color rgb="FF002060"/>
        <rFont val="Times New Roman"/>
        <charset val="134"/>
      </rPr>
      <t>CPSN</t>
    </r>
    <r>
      <rPr>
        <b/>
        <sz val="12"/>
        <color rgb="FF002060"/>
        <rFont val="Kruti Dev 010"/>
        <charset val="134"/>
      </rPr>
      <t xml:space="preserve"> okyk dkfeZd gS rk</t>
    </r>
    <r>
      <rPr>
        <b/>
        <sz val="12"/>
        <color rgb="FF002060"/>
        <rFont val="Times New Roman"/>
        <charset val="134"/>
      </rPr>
      <t xml:space="preserve"> IFYour Ded.is G.P.F Write G If CPSN Write C</t>
    </r>
    <r>
      <rPr>
        <b/>
        <sz val="12"/>
        <color rgb="FF002060"/>
        <rFont val="Kruti Dev 010"/>
        <charset val="134"/>
      </rPr>
      <t xml:space="preserve"> ij </t>
    </r>
    <r>
      <rPr>
        <b/>
        <sz val="12"/>
        <color rgb="FF002060"/>
        <rFont val="Times New Roman"/>
        <charset val="134"/>
      </rPr>
      <t>C</t>
    </r>
    <r>
      <rPr>
        <b/>
        <sz val="12"/>
        <color rgb="FF002060"/>
        <rFont val="Kruti Dev 010"/>
        <charset val="134"/>
      </rPr>
      <t xml:space="preserve"> dj ns </t>
    </r>
  </si>
  <si>
    <r>
      <rPr>
        <b/>
        <sz val="12"/>
        <color rgb="FF002060"/>
        <rFont val="Kruti Dev 010"/>
        <charset val="134"/>
      </rPr>
      <t xml:space="preserve">      vxj</t>
    </r>
    <r>
      <rPr>
        <b/>
        <sz val="12"/>
        <color rgb="FF002060"/>
        <rFont val="Arial Narrow"/>
        <charset val="134"/>
      </rPr>
      <t xml:space="preserve"> GPF </t>
    </r>
    <r>
      <rPr>
        <b/>
        <sz val="12"/>
        <color rgb="FF002060"/>
        <rFont val="Kruti Dev 010"/>
        <charset val="134"/>
      </rPr>
      <t>okys dkfeZd gS rks</t>
    </r>
    <r>
      <rPr>
        <b/>
        <sz val="12"/>
        <color rgb="FF002060"/>
        <rFont val="Arial Narrow"/>
        <charset val="134"/>
      </rPr>
      <t xml:space="preserve"> G </t>
    </r>
    <r>
      <rPr>
        <b/>
        <sz val="12"/>
        <color rgb="FF002060"/>
        <rFont val="Kruti Dev 010"/>
        <charset val="134"/>
      </rPr>
      <t xml:space="preserve">jgus ns </t>
    </r>
  </si>
  <si>
    <r>
      <rPr>
        <b/>
        <sz val="11"/>
        <rFont val="Calibri"/>
        <charset val="134"/>
        <scheme val="minor"/>
      </rPr>
      <t>Grade Pay</t>
    </r>
    <r>
      <rPr>
        <b/>
        <sz val="11"/>
        <rFont val="Wingdings"/>
        <charset val="2"/>
      </rPr>
      <t>ð</t>
    </r>
  </si>
  <si>
    <r>
      <rPr>
        <b/>
        <sz val="12"/>
        <color rgb="FF002060"/>
        <rFont val="Arial Narrow"/>
        <charset val="134"/>
      </rPr>
      <t>5</t>
    </r>
    <r>
      <rPr>
        <b/>
        <sz val="12"/>
        <color rgb="FF002060"/>
        <rFont val="Times New Roman"/>
        <charset val="134"/>
      </rPr>
      <t xml:space="preserve">    </t>
    </r>
    <r>
      <rPr>
        <b/>
        <sz val="12"/>
        <color rgb="FF002060"/>
        <rFont val="Kruti Dev 010"/>
        <charset val="134"/>
      </rPr>
      <t xml:space="preserve">&amp; vxj vki </t>
    </r>
    <r>
      <rPr>
        <b/>
        <sz val="12"/>
        <color rgb="FF002060"/>
        <rFont val="Times New Roman"/>
        <charset val="134"/>
      </rPr>
      <t>HDA</t>
    </r>
    <r>
      <rPr>
        <b/>
        <sz val="12"/>
        <color rgb="FF002060"/>
        <rFont val="Kruti Dev 010"/>
        <charset val="134"/>
      </rPr>
      <t xml:space="preserve"> ?kVuk pkgrs gS rks </t>
    </r>
    <r>
      <rPr>
        <b/>
        <sz val="12"/>
        <color rgb="FF002060"/>
        <rFont val="Times New Roman"/>
        <charset val="134"/>
      </rPr>
      <t>If H.D.A. exempted</t>
    </r>
    <r>
      <rPr>
        <b/>
        <sz val="12"/>
        <color rgb="FF002060"/>
        <rFont val="Kruti Dev 010"/>
        <charset val="134"/>
      </rPr>
      <t xml:space="preserve"> ij </t>
    </r>
    <r>
      <rPr>
        <b/>
        <sz val="12"/>
        <color rgb="FF002060"/>
        <rFont val="Times New Roman"/>
        <charset val="134"/>
      </rPr>
      <t>Y</t>
    </r>
    <r>
      <rPr>
        <b/>
        <sz val="12"/>
        <color rgb="FF002060"/>
        <rFont val="Kruti Dev 010"/>
        <charset val="134"/>
      </rPr>
      <t xml:space="preserve"> dj nsA ugh ?kVuk pkgrs gS rks </t>
    </r>
    <r>
      <rPr>
        <b/>
        <sz val="12"/>
        <color rgb="FF002060"/>
        <rFont val="Times New Roman"/>
        <charset val="134"/>
      </rPr>
      <t>N</t>
    </r>
    <r>
      <rPr>
        <b/>
        <sz val="12"/>
        <color rgb="FF002060"/>
        <rFont val="Kruti Dev 010"/>
        <charset val="134"/>
      </rPr>
      <t>dj nsA</t>
    </r>
  </si>
  <si>
    <r>
      <rPr>
        <b/>
        <sz val="11"/>
        <rFont val="Calibri"/>
        <charset val="134"/>
        <scheme val="minor"/>
      </rPr>
      <t xml:space="preserve">Level         </t>
    </r>
    <r>
      <rPr>
        <b/>
        <sz val="11"/>
        <rFont val="Wingdings"/>
        <charset val="2"/>
      </rPr>
      <t>ð</t>
    </r>
  </si>
  <si>
    <r>
      <rPr>
        <b/>
        <sz val="12"/>
        <color rgb="FF002060"/>
        <rFont val="Kruti Dev 010"/>
        <charset val="134"/>
      </rPr>
      <t xml:space="preserve">6  &amp; vxj vki </t>
    </r>
    <r>
      <rPr>
        <b/>
        <sz val="11"/>
        <color rgb="FF002060"/>
        <rFont val="Times New Roman"/>
        <charset val="134"/>
      </rPr>
      <t xml:space="preserve">HRA </t>
    </r>
    <r>
      <rPr>
        <b/>
        <sz val="12"/>
        <color rgb="FF002060"/>
        <rFont val="Kruti Dev 010"/>
        <charset val="134"/>
      </rPr>
      <t xml:space="preserve">?kVuk pkgrs gS rks </t>
    </r>
    <r>
      <rPr>
        <b/>
        <sz val="11"/>
        <color rgb="FF002060"/>
        <rFont val="Times New Roman"/>
        <charset val="134"/>
      </rPr>
      <t>If H.R.A.</t>
    </r>
    <r>
      <rPr>
        <b/>
        <sz val="12"/>
        <color rgb="FF002060"/>
        <rFont val="Kruti Dev 010"/>
        <charset val="134"/>
      </rPr>
      <t xml:space="preserve"> </t>
    </r>
    <r>
      <rPr>
        <b/>
        <sz val="12"/>
        <color rgb="FF002060"/>
        <rFont val="Times New Roman"/>
        <charset val="134"/>
      </rPr>
      <t xml:space="preserve">exempted </t>
    </r>
    <r>
      <rPr>
        <b/>
        <sz val="12"/>
        <color rgb="FF002060"/>
        <rFont val="Kruti Dev 010"/>
        <charset val="134"/>
      </rPr>
      <t xml:space="preserve">ij </t>
    </r>
    <r>
      <rPr>
        <b/>
        <sz val="12"/>
        <color rgb="FF002060"/>
        <rFont val="Times New Roman"/>
        <charset val="134"/>
      </rPr>
      <t xml:space="preserve">Y </t>
    </r>
    <r>
      <rPr>
        <b/>
        <sz val="12"/>
        <color rgb="FF002060"/>
        <rFont val="Kruti Dev 010"/>
        <charset val="134"/>
      </rPr>
      <t xml:space="preserve">dj nsA ugh ?kVuk pkgrs gS rks </t>
    </r>
    <r>
      <rPr>
        <b/>
        <sz val="12"/>
        <color rgb="FF002060"/>
        <rFont val="Times New Roman"/>
        <charset val="134"/>
      </rPr>
      <t xml:space="preserve">N </t>
    </r>
    <r>
      <rPr>
        <b/>
        <sz val="12"/>
        <color rgb="FF002060"/>
        <rFont val="Kruti Dev 010"/>
        <charset val="134"/>
      </rPr>
      <t>dj nsA</t>
    </r>
  </si>
  <si>
    <t xml:space="preserve">Income Tax Ass old </t>
  </si>
  <si>
    <t>Income Tax Ass. New</t>
  </si>
  <si>
    <r>
      <rPr>
        <b/>
        <sz val="12"/>
        <color rgb="FF7030A0"/>
        <rFont val="Kruti Dev 010"/>
        <charset val="134"/>
      </rPr>
      <t xml:space="preserve"> vxj vki ek0f”k0 esa dk;Zjr gS rks </t>
    </r>
    <r>
      <rPr>
        <b/>
        <sz val="12"/>
        <color rgb="FF7030A0"/>
        <rFont val="Times New Roman"/>
        <charset val="134"/>
      </rPr>
      <t xml:space="preserve">If yoy are Employee  </t>
    </r>
    <r>
      <rPr>
        <b/>
        <sz val="12"/>
        <color rgb="FF7030A0"/>
        <rFont val="Kruti Dev 010"/>
        <charset val="134"/>
      </rPr>
      <t>viuk dk;kZy;</t>
    </r>
    <r>
      <rPr>
        <b/>
        <sz val="12"/>
        <color rgb="FF7030A0"/>
        <rFont val="Cambria"/>
        <charset val="134"/>
      </rPr>
      <t xml:space="preserve">  Select</t>
    </r>
    <r>
      <rPr>
        <b/>
        <sz val="12"/>
        <color rgb="FF7030A0"/>
        <rFont val="Kruti Dev 010"/>
        <charset val="134"/>
      </rPr>
      <t xml:space="preserve"> dj ns vxj vki vU; dk;kZy; esa dk;Zjr gS rks esjs Qksu u0 9548541114 ij lEidZ dj dk;kZy; viMsV djk ldrs gS  </t>
    </r>
  </si>
  <si>
    <r>
      <rPr>
        <b/>
        <sz val="14"/>
        <color rgb="FF00B050"/>
        <rFont val="Gill Sans MT"/>
        <charset val="134"/>
      </rPr>
      <t xml:space="preserve">Salary Details </t>
    </r>
    <r>
      <rPr>
        <b/>
        <sz val="14"/>
        <color rgb="FF00B050"/>
        <rFont val="Kruti Dev 010"/>
        <charset val="134"/>
      </rPr>
      <t xml:space="preserve">ij vxj dgh ij ifjorZu gks rks rHkh ifjorZu djsa vU;Fkk ifjorZu uk djsaA </t>
    </r>
  </si>
  <si>
    <t>FORM16 Old</t>
  </si>
  <si>
    <t>FORM16 New</t>
  </si>
  <si>
    <r>
      <rPr>
        <b/>
        <i/>
        <sz val="12"/>
        <color rgb="FFFF0000"/>
        <rFont val="Cambria"/>
        <charset val="134"/>
      </rPr>
      <t xml:space="preserve">Income Tax Ass. </t>
    </r>
    <r>
      <rPr>
        <b/>
        <sz val="12"/>
        <color rgb="FFFF0000"/>
        <rFont val="Nirmala UI"/>
        <charset val="134"/>
      </rPr>
      <t xml:space="preserve">पर केवल </t>
    </r>
    <r>
      <rPr>
        <b/>
        <i/>
        <sz val="12"/>
        <color rgb="FFFF0000"/>
        <rFont val="Cambria"/>
        <charset val="134"/>
      </rPr>
      <t xml:space="preserve">home loan/ Medical Reimbursement sec 17 2 </t>
    </r>
    <r>
      <rPr>
        <b/>
        <sz val="12"/>
        <color rgb="FFFF0000"/>
        <rFont val="Nirmala UI"/>
        <charset val="134"/>
      </rPr>
      <t xml:space="preserve">और </t>
    </r>
    <r>
      <rPr>
        <b/>
        <i/>
        <sz val="12"/>
        <color rgb="FFFF0000"/>
        <rFont val="Cambria"/>
        <charset val="134"/>
      </rPr>
      <t xml:space="preserve">under chapter 6 A and B &amp; Other Dedication income Tax Ass </t>
    </r>
    <r>
      <rPr>
        <b/>
        <sz val="12"/>
        <color rgb="FFFF0000"/>
        <rFont val="Nirmala UI"/>
        <charset val="134"/>
      </rPr>
      <t>पर भर ।।।</t>
    </r>
  </si>
  <si>
    <t>EMOU WEBSITE</t>
  </si>
  <si>
    <t>Inrement mounth &amp; amount</t>
  </si>
  <si>
    <t>April</t>
  </si>
  <si>
    <r>
      <rPr>
        <b/>
        <sz val="8"/>
        <color rgb="FFFF0000"/>
        <rFont val="Kruti Dev 010"/>
        <charset val="134"/>
      </rPr>
      <t xml:space="preserve">f'k{kk foHkkx ls lEcU/kh vkosnu i= ,oa QksZsesV </t>
    </r>
    <r>
      <rPr>
        <b/>
        <sz val="8"/>
        <color rgb="FFFF0000"/>
        <rFont val="Arial"/>
        <charset val="134"/>
      </rPr>
      <t>EMOU</t>
    </r>
    <r>
      <rPr>
        <b/>
        <sz val="8"/>
        <color rgb="FFFF0000"/>
        <rFont val="Kruti Dev 010"/>
        <charset val="134"/>
      </rPr>
      <t xml:space="preserve"> osclkbM ls izkIr dj ldrs gS </t>
    </r>
  </si>
  <si>
    <t>May</t>
  </si>
  <si>
    <t>Salary Annual Statement Check</t>
  </si>
  <si>
    <t>June</t>
  </si>
  <si>
    <t>July</t>
  </si>
  <si>
    <t>August</t>
  </si>
  <si>
    <t>FEEDBACK</t>
  </si>
  <si>
    <t>September</t>
  </si>
  <si>
    <t>October</t>
  </si>
  <si>
    <r>
      <rPr>
        <b/>
        <sz val="10"/>
        <color rgb="FFFF0000"/>
        <rFont val="Arial"/>
        <charset val="134"/>
      </rPr>
      <t>Calculator</t>
    </r>
    <r>
      <rPr>
        <b/>
        <sz val="11"/>
        <color rgb="FFFF0000"/>
        <rFont val="Arial"/>
        <charset val="134"/>
      </rPr>
      <t xml:space="preserve"> </t>
    </r>
    <r>
      <rPr>
        <b/>
        <sz val="11"/>
        <color rgb="FFFF0000"/>
        <rFont val="Kruti Dev 010"/>
        <charset val="134"/>
      </rPr>
      <t xml:space="preserve">ds lEcU/kh esa viuk </t>
    </r>
    <r>
      <rPr>
        <b/>
        <sz val="10"/>
        <color rgb="FFFF0000"/>
        <rFont val="Arial"/>
        <charset val="134"/>
      </rPr>
      <t>Feedback</t>
    </r>
    <r>
      <rPr>
        <b/>
        <sz val="11"/>
        <color rgb="FFFF0000"/>
        <rFont val="Kruti Dev 010"/>
        <charset val="134"/>
      </rPr>
      <t xml:space="preserve"> vko'; nsA</t>
    </r>
  </si>
  <si>
    <t>November</t>
  </si>
  <si>
    <t>December</t>
  </si>
  <si>
    <t>January</t>
  </si>
  <si>
    <t>February</t>
  </si>
  <si>
    <t>March</t>
  </si>
  <si>
    <t xml:space="preserve">Develped by - </t>
  </si>
  <si>
    <t xml:space="preserve">                    Tehri Garhwal</t>
  </si>
  <si>
    <t>Income Tax deduction mounth &amp; amount</t>
  </si>
  <si>
    <t>Chief Education Officer (CEO), </t>
  </si>
  <si>
    <r>
      <rPr>
        <b/>
        <sz val="8"/>
        <color rgb="FF343434"/>
        <rFont val="Arial"/>
        <charset val="134"/>
      </rPr>
      <t>DIRECTOR SECONDARY EDUCATION </t>
    </r>
    <r>
      <rPr>
        <sz val="8"/>
        <color rgb="FF343434"/>
        <rFont val="Arial"/>
        <charset val="134"/>
      </rPr>
      <t>     </t>
    </r>
  </si>
  <si>
    <t xml:space="preserve">District Minorty Welfare </t>
  </si>
  <si>
    <t>Category</t>
  </si>
  <si>
    <t>B2</t>
  </si>
  <si>
    <t>C</t>
  </si>
  <si>
    <t>other</t>
  </si>
  <si>
    <t>Deo Elementry Education</t>
  </si>
  <si>
    <t>Block Education Officer</t>
  </si>
  <si>
    <t xml:space="preserve">Distric Minorty Welfare </t>
  </si>
  <si>
    <t>Income Tax Calculator For Financial Year 2024-25</t>
  </si>
  <si>
    <t xml:space="preserve"> PERSONAL INFORMATION</t>
  </si>
  <si>
    <t>Information Page</t>
  </si>
  <si>
    <t xml:space="preserve">Name Of Employee </t>
  </si>
  <si>
    <t>VIKAS</t>
  </si>
  <si>
    <t xml:space="preserve"> Fill only White colourd columned</t>
  </si>
  <si>
    <t>DOB</t>
  </si>
  <si>
    <t>Details of Deductions</t>
  </si>
  <si>
    <t>Father's Name</t>
  </si>
  <si>
    <t>Phone Number</t>
  </si>
  <si>
    <t>Designation</t>
  </si>
  <si>
    <t>7th Pay Arrear</t>
  </si>
  <si>
    <t>Income Tax</t>
  </si>
  <si>
    <t>G.P.F.No.</t>
  </si>
  <si>
    <t>COEDUA-</t>
  </si>
  <si>
    <t xml:space="preserve"> OR</t>
  </si>
  <si>
    <t xml:space="preserve"> THY/CPSN</t>
  </si>
  <si>
    <t>(First) Arrear</t>
  </si>
  <si>
    <t xml:space="preserve">PAN No. </t>
  </si>
  <si>
    <t>(Second)Arrear</t>
  </si>
  <si>
    <t>Employee Code</t>
  </si>
  <si>
    <t>AGE</t>
  </si>
  <si>
    <t>HRR</t>
  </si>
  <si>
    <t>If H.D.A. exempted write Y otherwise N</t>
  </si>
  <si>
    <t>Basic Pay March Paid April24</t>
  </si>
  <si>
    <t>IFYour Ded.is G.P.F Write G If CPSN Write C</t>
  </si>
  <si>
    <t xml:space="preserve">Grade Pay </t>
  </si>
  <si>
    <t>Increment</t>
  </si>
  <si>
    <t>n</t>
  </si>
  <si>
    <t>Increment Month</t>
  </si>
  <si>
    <t>After Increment Basic Pay</t>
  </si>
  <si>
    <t>Personal Pay</t>
  </si>
  <si>
    <t>Another Income</t>
  </si>
  <si>
    <t>Govt Health SGHS</t>
  </si>
  <si>
    <t>G.P.F. Subscription</t>
  </si>
  <si>
    <r>
      <rPr>
        <sz val="9"/>
        <rFont val="Arial"/>
        <charset val="134"/>
      </rPr>
      <t xml:space="preserve">If H.R.A. exempted write </t>
    </r>
    <r>
      <rPr>
        <b/>
        <sz val="9"/>
        <rFont val="Arial"/>
        <charset val="134"/>
      </rPr>
      <t>Y</t>
    </r>
    <r>
      <rPr>
        <sz val="9"/>
        <rFont val="Arial"/>
        <charset val="134"/>
      </rPr>
      <t xml:space="preserve"> otherwise </t>
    </r>
    <r>
      <rPr>
        <b/>
        <sz val="9"/>
        <rFont val="Arial"/>
        <charset val="134"/>
      </rPr>
      <t>N</t>
    </r>
  </si>
  <si>
    <t>Border Allowance</t>
  </si>
  <si>
    <t>Bonus</t>
  </si>
  <si>
    <t xml:space="preserve">   Months</t>
  </si>
  <si>
    <t>D.A.Rates</t>
  </si>
  <si>
    <t>D.A. Arrear 1 50%</t>
  </si>
  <si>
    <t xml:space="preserve">Mar. paid April </t>
  </si>
  <si>
    <t>D.A. Arrear 2 53%</t>
  </si>
  <si>
    <t xml:space="preserve"> House Rent </t>
  </si>
  <si>
    <t xml:space="preserve">April paid May </t>
  </si>
  <si>
    <t>Others Arrear</t>
  </si>
  <si>
    <t>May paid Jun</t>
  </si>
  <si>
    <r>
      <rPr>
        <b/>
        <sz val="11"/>
        <color rgb="FFFF0000"/>
        <rFont val="Kruti Dev 010"/>
        <charset val="134"/>
      </rPr>
      <t>f'k{kk foHkkx ls lEcU/kh vkosnu i= ,oa QksZsesV</t>
    </r>
    <r>
      <rPr>
        <b/>
        <sz val="11"/>
        <color rgb="FFFF0000"/>
        <rFont val="Times New Roman"/>
        <charset val="134"/>
      </rPr>
      <t xml:space="preserve"> </t>
    </r>
    <r>
      <rPr>
        <b/>
        <sz val="8"/>
        <color rgb="FFFF0000"/>
        <rFont val="Times New Roman"/>
        <charset val="134"/>
      </rPr>
      <t>EMOU</t>
    </r>
    <r>
      <rPr>
        <b/>
        <sz val="11"/>
        <color rgb="FFFF0000"/>
        <rFont val="Times New Roman"/>
        <charset val="134"/>
      </rPr>
      <t xml:space="preserve"> </t>
    </r>
    <r>
      <rPr>
        <b/>
        <sz val="11"/>
        <color rgb="FFFF0000"/>
        <rFont val="Kruti Dev 010"/>
        <charset val="134"/>
      </rPr>
      <t xml:space="preserve">osclkbM ls izkIr dj ldrs gS </t>
    </r>
  </si>
  <si>
    <t>Tax Range</t>
  </si>
  <si>
    <t>Income Tax Deduction From (month)</t>
  </si>
  <si>
    <t xml:space="preserve">June paid July </t>
  </si>
  <si>
    <t xml:space="preserve">Tax Deduction Amount </t>
  </si>
  <si>
    <t xml:space="preserve">July paid Aug </t>
  </si>
  <si>
    <t>Office/College Name</t>
  </si>
  <si>
    <t xml:space="preserve"> </t>
  </si>
  <si>
    <t>Aug paid Sept</t>
  </si>
  <si>
    <t>Block</t>
  </si>
  <si>
    <t>Sept paid Oct.</t>
  </si>
  <si>
    <t>Distt.</t>
  </si>
  <si>
    <t>TEHRI</t>
  </si>
  <si>
    <t>Oct.paid Nov.</t>
  </si>
  <si>
    <t>Tan No.</t>
  </si>
  <si>
    <t xml:space="preserve">Nov.paid Dec </t>
  </si>
  <si>
    <t>Assessment Year</t>
  </si>
  <si>
    <t>Dec.paid Jan.</t>
  </si>
  <si>
    <t>Financial Year</t>
  </si>
  <si>
    <t>2024-25</t>
  </si>
  <si>
    <t xml:space="preserve">Jan.paid Feb </t>
  </si>
  <si>
    <t>Period</t>
  </si>
  <si>
    <t xml:space="preserve">  From</t>
  </si>
  <si>
    <t>To</t>
  </si>
  <si>
    <t>Feb.paid Mar.</t>
  </si>
  <si>
    <t>01 - 04 - 2024</t>
  </si>
  <si>
    <t>31 - 03 - 2025</t>
  </si>
  <si>
    <t xml:space="preserve"> Income For (FAMILY PENSION)</t>
  </si>
  <si>
    <t>Benificial</t>
  </si>
  <si>
    <t>Name of the person</t>
  </si>
  <si>
    <t>responsible for</t>
  </si>
  <si>
    <t>If yoy are Employee</t>
  </si>
  <si>
    <t>Principal</t>
  </si>
  <si>
    <t>deduction of Tax</t>
  </si>
  <si>
    <t>Name Of The Employer</t>
  </si>
  <si>
    <t>Son of</t>
  </si>
  <si>
    <t>Address</t>
  </si>
  <si>
    <t>OLD REGIME</t>
  </si>
  <si>
    <t>NEW REGIME</t>
  </si>
  <si>
    <t>PAN No. of the Deductor</t>
  </si>
  <si>
    <t>DETAILS OF TAX DEDUCTED AMOUNT (Date and Vo. No.)</t>
  </si>
  <si>
    <t>Place</t>
  </si>
  <si>
    <t>Date of Form 16 issud</t>
  </si>
  <si>
    <t>31-05-2024</t>
  </si>
  <si>
    <t>Quaterly statements</t>
  </si>
  <si>
    <t>Quarter</t>
  </si>
  <si>
    <t>Acknowlledgement No.</t>
  </si>
  <si>
    <t>Amount of Tax respect</t>
  </si>
  <si>
    <t>Amount of Tax deposited /</t>
  </si>
  <si>
    <t>of the employee</t>
  </si>
  <si>
    <t>remitted in respect of the employee</t>
  </si>
  <si>
    <t>Q 1</t>
  </si>
  <si>
    <t>Director</t>
  </si>
  <si>
    <t>Q 2</t>
  </si>
  <si>
    <t>Department of Education</t>
  </si>
  <si>
    <t>Q 3</t>
  </si>
  <si>
    <t>Uttarakhand</t>
  </si>
  <si>
    <t>Q 4</t>
  </si>
  <si>
    <t>Total</t>
  </si>
  <si>
    <t>Deputy Block Education Officer</t>
  </si>
  <si>
    <t xml:space="preserve">Calculator is Designed By </t>
  </si>
  <si>
    <t xml:space="preserve">Verified By </t>
  </si>
  <si>
    <t>VIKAS DABRAL</t>
  </si>
  <si>
    <t>PAWAN CHAMOLI</t>
  </si>
  <si>
    <t>ASSISTANT DIRECTOR  </t>
  </si>
  <si>
    <t>Chief Assistant</t>
  </si>
  <si>
    <t>POKHRIYAL &amp; ASSOCIATES</t>
  </si>
  <si>
    <t>SCERT DEHRADUN</t>
  </si>
  <si>
    <t>SECRETARY EDUCATION BOARD</t>
  </si>
  <si>
    <t>NEW TEHRI</t>
  </si>
  <si>
    <t>website -www.emou.co.in</t>
  </si>
  <si>
    <t xml:space="preserve">Senior Treasury Officer	</t>
  </si>
  <si>
    <t>Details of Deductions, Income/Deposits and Exemptions Other Than Salary</t>
  </si>
  <si>
    <t>Back to Home Page</t>
  </si>
  <si>
    <t>1. House Rent</t>
  </si>
  <si>
    <t>80TTA/80TTB Maximum Interest on Savings Account</t>
  </si>
  <si>
    <t>BASIC+D.A.</t>
  </si>
  <si>
    <t xml:space="preserve">2. Entertainment Allowance </t>
  </si>
  <si>
    <t>Income Of Other Source (Bank FD, Interest etc)</t>
  </si>
  <si>
    <t>3. Expenditure tax under section 16(III)</t>
  </si>
  <si>
    <t xml:space="preserve">80C - Other Deductions In Under Section </t>
  </si>
  <si>
    <t>Taxable Amt</t>
  </si>
  <si>
    <t>4. Income from House Property</t>
  </si>
  <si>
    <t>(80CCC) Contribution to Pension Plan - Other Than NPS</t>
  </si>
  <si>
    <t>5. House Tax</t>
  </si>
  <si>
    <t>80CCD(1B) Additional Contribution in NPS - (Max. 50000)</t>
  </si>
  <si>
    <t>6. Home Loan Principal Amount</t>
  </si>
  <si>
    <t>23. 80D Medical Insurance Premium</t>
  </si>
  <si>
    <t>7. Interest of House Loan</t>
  </si>
  <si>
    <t>80DD Medical treatment of dependents with disabilities</t>
  </si>
  <si>
    <t>Rebate Under Section
80C, 80CCC, 80CCD(1)</t>
  </si>
  <si>
    <t>8. LIC - Life Insurance (Other Than Salary)</t>
  </si>
  <si>
    <t>80DDB Deduction for treatment of specific diseases</t>
  </si>
  <si>
    <t>9. PLI</t>
  </si>
  <si>
    <t xml:space="preserve"> 80E Interest on loan taken for higher education</t>
  </si>
  <si>
    <t>10. Tution Fees</t>
  </si>
  <si>
    <t>80G Donations given to charitable institutions etc.</t>
  </si>
  <si>
    <t>11. ULIP / Annual Plan</t>
  </si>
  <si>
    <t>80U In case of permanent physical disability</t>
  </si>
  <si>
    <t>12. NSC - National Savings Certificate</t>
  </si>
  <si>
    <t>80GGA Donations given for approved scientific, social, rural development etc.</t>
  </si>
  <si>
    <t>Receipt Required for House Rent Exemption</t>
  </si>
  <si>
    <t>13. Interest of NSC</t>
  </si>
  <si>
    <t>Equity Linked Savings Scheme</t>
  </si>
  <si>
    <t>14. PPF -Public Provident Fund</t>
  </si>
  <si>
    <t>Defferred Annuty</t>
  </si>
  <si>
    <t>15. NSS -National Savings Scheme</t>
  </si>
  <si>
    <t>Relief under section 89</t>
  </si>
  <si>
    <t>16. Sukanya Samriddhi Yojana</t>
  </si>
  <si>
    <t>TDS - Income tax deposited in addition to salary bill</t>
  </si>
  <si>
    <t>17. Family Pension (Income)</t>
  </si>
  <si>
    <t>18. Family Pension (Reabate)</t>
  </si>
  <si>
    <t>HRA</t>
  </si>
  <si>
    <t>old</t>
  </si>
  <si>
    <t xml:space="preserve">new </t>
  </si>
  <si>
    <t>DETAILS OF SALARY AND ALLOWANCES     FINANCIAL YEAR</t>
  </si>
  <si>
    <t xml:space="preserve">Name of the Employee -    </t>
  </si>
  <si>
    <t xml:space="preserve"> Institution-</t>
  </si>
  <si>
    <t>Designation -</t>
  </si>
  <si>
    <t xml:space="preserve">                 </t>
  </si>
  <si>
    <t>PAN -</t>
  </si>
  <si>
    <t>G.P.F.</t>
  </si>
  <si>
    <t>C.P.A.</t>
  </si>
  <si>
    <t/>
  </si>
  <si>
    <t>Subscription</t>
  </si>
  <si>
    <t>Sl.</t>
  </si>
  <si>
    <t xml:space="preserve"> Salary Months</t>
  </si>
  <si>
    <t xml:space="preserve">Basic </t>
  </si>
  <si>
    <t>Personal</t>
  </si>
  <si>
    <t>Other Allowance</t>
  </si>
  <si>
    <t>D.A.</t>
  </si>
  <si>
    <t>H.D.A.</t>
  </si>
  <si>
    <t>H.R.A.</t>
  </si>
  <si>
    <t>NPS (GOVT CONTR)</t>
  </si>
  <si>
    <t>Gross</t>
  </si>
  <si>
    <t xml:space="preserve">                     Deductions</t>
  </si>
  <si>
    <t>Govt Health Insurance SGHS</t>
  </si>
  <si>
    <t>CM RELIEF FUND</t>
  </si>
  <si>
    <t>Net</t>
  </si>
  <si>
    <t>Grade Pay</t>
  </si>
  <si>
    <t>CPSN</t>
  </si>
  <si>
    <t>No.</t>
  </si>
  <si>
    <t>Pay</t>
  </si>
  <si>
    <t>G.I.S.</t>
  </si>
  <si>
    <t>Income</t>
  </si>
  <si>
    <t>Deductions</t>
  </si>
  <si>
    <t>Payable</t>
  </si>
  <si>
    <t>Advan.Ref</t>
  </si>
  <si>
    <t>Tax</t>
  </si>
  <si>
    <t>Months</t>
  </si>
  <si>
    <t>Incriment</t>
  </si>
  <si>
    <t>D.A. Rate</t>
  </si>
  <si>
    <t>Tax Deduction</t>
  </si>
  <si>
    <t>H.R. Cat</t>
  </si>
  <si>
    <t>Cpsn ded</t>
  </si>
  <si>
    <t>Cpsn ded 2</t>
  </si>
  <si>
    <t>GPF</t>
  </si>
  <si>
    <t xml:space="preserve">July paid Aug. </t>
  </si>
  <si>
    <t xml:space="preserve">Aug paid Sept. </t>
  </si>
  <si>
    <t xml:space="preserve">Nov.paid Dec. </t>
  </si>
  <si>
    <t xml:space="preserve">Jan.paid Feb. </t>
  </si>
  <si>
    <t>feb</t>
  </si>
  <si>
    <t>DA Arrear  50%</t>
  </si>
  <si>
    <t>DA Arrear  53%</t>
  </si>
  <si>
    <t>7th Pay Arrear (First)</t>
  </si>
  <si>
    <t>7th Pay Arrear (Second)</t>
  </si>
  <si>
    <t>D.A.Arrear 1</t>
  </si>
  <si>
    <t>D.A.Arrear2</t>
  </si>
  <si>
    <t xml:space="preserve">       Grand Total</t>
  </si>
  <si>
    <t>Signature</t>
  </si>
  <si>
    <t xml:space="preserve">        Signature -</t>
  </si>
  <si>
    <t xml:space="preserve">  Name -</t>
  </si>
  <si>
    <t xml:space="preserve">      Institution-</t>
  </si>
  <si>
    <t>D.A. 1</t>
  </si>
  <si>
    <t>Mounth</t>
  </si>
  <si>
    <t>Due</t>
  </si>
  <si>
    <t>Drawn</t>
  </si>
  <si>
    <t>Diff</t>
  </si>
  <si>
    <t>Total Arrear</t>
  </si>
  <si>
    <t>jan</t>
  </si>
  <si>
    <t>mar</t>
  </si>
  <si>
    <t>apr</t>
  </si>
  <si>
    <t>DYEO</t>
  </si>
  <si>
    <t xml:space="preserve">ASSISTANT DIRECTOR  </t>
  </si>
  <si>
    <t>may</t>
  </si>
  <si>
    <t>D.A. 2</t>
  </si>
  <si>
    <t>Jul</t>
  </si>
  <si>
    <t>Aug</t>
  </si>
  <si>
    <t>Sep</t>
  </si>
  <si>
    <t>Oct</t>
  </si>
  <si>
    <t>M</t>
  </si>
  <si>
    <t>Nov</t>
  </si>
  <si>
    <t>B</t>
  </si>
  <si>
    <t>DDO</t>
  </si>
  <si>
    <t>DIRECTOR SECONDARY EDUCATION      </t>
  </si>
  <si>
    <t xml:space="preserve">Deo Elementry </t>
  </si>
  <si>
    <t>SECRETARY EDUCATION BOARD, RAMANGAR, NAINITAL</t>
  </si>
  <si>
    <t>CEO</t>
  </si>
  <si>
    <t>BEO</t>
  </si>
  <si>
    <t>Senior Treasury Officer</t>
  </si>
  <si>
    <r>
      <rPr>
        <b/>
        <sz val="12"/>
        <rFont val="Arial"/>
        <charset val="134"/>
      </rPr>
      <t xml:space="preserve">        </t>
    </r>
    <r>
      <rPr>
        <b/>
        <sz val="10"/>
        <rFont val="Arial"/>
        <charset val="134"/>
      </rPr>
      <t xml:space="preserve">  INCOME  TAX  CALCULATION  MEMO  FINANCIAL YEAR</t>
    </r>
  </si>
  <si>
    <t>Name of Institution :</t>
  </si>
  <si>
    <t>Name of the Employee :</t>
  </si>
  <si>
    <t>Designation :</t>
  </si>
  <si>
    <t>PAN  :</t>
  </si>
  <si>
    <t>Employee Code :</t>
  </si>
  <si>
    <t>1- Annual Income-</t>
  </si>
  <si>
    <t>( i ) Basic Pay</t>
  </si>
  <si>
    <t>Rs.</t>
  </si>
  <si>
    <t>(vii) C.P.A.</t>
  </si>
  <si>
    <t>( ii ) Personal Pay</t>
  </si>
  <si>
    <t xml:space="preserve">     1- G.P.F.</t>
  </si>
  <si>
    <t>( iii ) D.A.</t>
  </si>
  <si>
    <t xml:space="preserve">     1- C.P.D.</t>
  </si>
  <si>
    <t>( iv ) H.D.A.</t>
  </si>
  <si>
    <t>( v) H.R.A.</t>
  </si>
  <si>
    <t>( vi) Medical Reimbursement Sec 17(2)</t>
  </si>
  <si>
    <t>( vii) Border Allowance</t>
  </si>
  <si>
    <t>(Viii) NPS (GOVT CONTR)</t>
  </si>
  <si>
    <t>(IX) Other Allowance</t>
  </si>
  <si>
    <t>Gross Salary</t>
  </si>
  <si>
    <t>Another type of Payment</t>
  </si>
  <si>
    <t xml:space="preserve">FAMILY PENSION </t>
  </si>
  <si>
    <t>Total salary--</t>
  </si>
  <si>
    <t>2-Subtraction under chapter 10(13A)</t>
  </si>
  <si>
    <t xml:space="preserve">                                   Medical Reimbursement Sec 17(2)</t>
  </si>
  <si>
    <t>3 -Balance(1-2)</t>
  </si>
  <si>
    <r>
      <rPr>
        <b/>
        <sz val="9"/>
        <rFont val="Arial"/>
        <charset val="134"/>
      </rPr>
      <t xml:space="preserve">4- Standard Deduction u/s 16 </t>
    </r>
    <r>
      <rPr>
        <b/>
        <sz val="9"/>
        <color rgb="FFFF0000"/>
        <rFont val="Arial"/>
        <charset val="134"/>
      </rPr>
      <t xml:space="preserve"> Budget 2019</t>
    </r>
  </si>
  <si>
    <t>5-Subtraction under chapter 24</t>
  </si>
  <si>
    <t xml:space="preserve">      24(1) Deduction from income of house property,let out rent---</t>
  </si>
  <si>
    <t xml:space="preserve">      24(2) Interest on loan borrowed for house property/construction/purchase-</t>
  </si>
  <si>
    <t xml:space="preserve">        57 (iia) Rebati On Family Pension</t>
  </si>
  <si>
    <t>6-Balance(3-4-5)</t>
  </si>
  <si>
    <t>7-Income from other sources</t>
  </si>
  <si>
    <t>8-Gross income</t>
  </si>
  <si>
    <t>9-Deduction under chapter 6A</t>
  </si>
  <si>
    <t xml:space="preserve">       A-Deduction under chapter 80 C(up to Rs 150000.00)-</t>
  </si>
  <si>
    <t xml:space="preserve">     2- G.I.S</t>
  </si>
  <si>
    <t xml:space="preserve">     3- P.P.F</t>
  </si>
  <si>
    <t xml:space="preserve">     4- Education Fee </t>
  </si>
  <si>
    <t xml:space="preserve">     5- L.I.C</t>
  </si>
  <si>
    <t xml:space="preserve">     6- N.S.C.</t>
  </si>
  <si>
    <t xml:space="preserve">     7- PL.I.</t>
  </si>
  <si>
    <t xml:space="preserve">     8- Re payment of house loan</t>
  </si>
  <si>
    <t xml:space="preserve">     9- CPSN </t>
  </si>
  <si>
    <t xml:space="preserve">    10- sukanya samriddhi yojana</t>
  </si>
  <si>
    <t xml:space="preserve">                                         Gross amount under 80C</t>
  </si>
  <si>
    <t xml:space="preserve">                                         Deductible amount under 80c</t>
  </si>
  <si>
    <t xml:space="preserve">       B-Other sections Under Chapter VIA</t>
  </si>
  <si>
    <t xml:space="preserve">                      1-80CCCD(1B) Employer's share (CPF) NPS </t>
  </si>
  <si>
    <t>Income Tax for General</t>
  </si>
  <si>
    <t>Tax Slabs</t>
  </si>
  <si>
    <t>Incremental</t>
  </si>
  <si>
    <t>Taxable Inc</t>
  </si>
  <si>
    <t>Tax Bracket</t>
  </si>
  <si>
    <t xml:space="preserve">                      2-Sec 80CCD(2) NPS (Employer Contribution)</t>
  </si>
  <si>
    <t>0 -250000</t>
  </si>
  <si>
    <t xml:space="preserve">                      3- 80(D) Premium under mediclaim policy/sghs</t>
  </si>
  <si>
    <t>250001 - 500000</t>
  </si>
  <si>
    <t xml:space="preserve">                      4- 80(DD) Medical treatment of handicapped</t>
  </si>
  <si>
    <t>500001 - 1000000</t>
  </si>
  <si>
    <t xml:space="preserve">                      5- 80(DDB) Medical treatment of special disease  Age -60, 40000 and 60+, 100000</t>
  </si>
  <si>
    <t>1000001 +</t>
  </si>
  <si>
    <t xml:space="preserve">                      6- 80(E) Interest on loan for higher education</t>
  </si>
  <si>
    <t>Total Tax</t>
  </si>
  <si>
    <r>
      <rPr>
        <sz val="8"/>
        <rFont val="Arial"/>
        <charset val="134"/>
      </rPr>
      <t xml:space="preserve">                      7- 80(G) Donation for certain funds (100%)--    Ram Mandir                                                                                                                                                                                 </t>
    </r>
    <r>
      <rPr>
        <sz val="8"/>
        <color indexed="8"/>
        <rFont val="Arial"/>
        <charset val="134"/>
      </rPr>
      <t xml:space="preserve">ef fun            </t>
    </r>
  </si>
  <si>
    <t xml:space="preserve">                      8- 80(U) Permanent disability( up to 50,000)</t>
  </si>
  <si>
    <t>Income Tax for Senior Citizen</t>
  </si>
  <si>
    <t xml:space="preserve">             Gross amount other Sec.under Ch.6A </t>
  </si>
  <si>
    <t>0 -300000</t>
  </si>
  <si>
    <t>10-   Aggregate of deductible amount under chapter VIA</t>
  </si>
  <si>
    <t>300001 - 500000</t>
  </si>
  <si>
    <t>11-Taxable income (8-9)</t>
  </si>
  <si>
    <t>12-Calculation of  tax</t>
  </si>
  <si>
    <t>Tax Rebate of Rs. 12,500 (For Income of less than 5 lakhs) (Budget 2019)</t>
  </si>
  <si>
    <t>Total Tax Payable</t>
  </si>
  <si>
    <t>Tax Surcharge @ 05%/20%/30%</t>
  </si>
  <si>
    <t>Income Tax for very Senior Citizen</t>
  </si>
  <si>
    <t xml:space="preserve"> (Income more than 50 Lakhs/1 cr/2 cr/5 cr respectively) (Budget 2019)</t>
  </si>
  <si>
    <t>0 - 500000</t>
  </si>
  <si>
    <r>
      <rPr>
        <b/>
        <sz val="9"/>
        <rFont val="Arial"/>
        <charset val="134"/>
      </rPr>
      <t xml:space="preserve">13- Health &amp; Education Cess@ 4 % of  </t>
    </r>
    <r>
      <rPr>
        <sz val="9"/>
        <rFont val="Arial"/>
        <charset val="134"/>
      </rPr>
      <t>(</t>
    </r>
    <r>
      <rPr>
        <b/>
        <sz val="9"/>
        <rFont val="Arial"/>
        <charset val="134"/>
      </rPr>
      <t xml:space="preserve"> </t>
    </r>
    <r>
      <rPr>
        <sz val="9"/>
        <rFont val="Arial"/>
        <charset val="134"/>
      </rPr>
      <t>Tax + Surcharge )</t>
    </r>
  </si>
  <si>
    <t>Surcharge  (above Rs 50000000) 10%</t>
  </si>
  <si>
    <t>14-Net payable tax</t>
  </si>
  <si>
    <t xml:space="preserve">               in 10's multiple</t>
  </si>
  <si>
    <t>15-Advance tax paid April 24 to January 25</t>
  </si>
  <si>
    <t>16-Balance Tax</t>
  </si>
  <si>
    <t>17- Total Income Tax Payable</t>
  </si>
  <si>
    <t>18-Rest tax payable from the salary of February 2025</t>
  </si>
  <si>
    <t xml:space="preserve">   It is certified that the statement given above is true and correct to the best of my knowledge.</t>
  </si>
  <si>
    <t>Signature :</t>
  </si>
  <si>
    <t>Name :</t>
  </si>
  <si>
    <t>PART A</t>
  </si>
  <si>
    <t xml:space="preserve"> FORM   16 </t>
  </si>
  <si>
    <t>Certificate under section 203 of the   Income-tax Act,  1961   for tax</t>
  </si>
  <si>
    <t xml:space="preserve">  [See rule 31 (1)(a)]</t>
  </si>
  <si>
    <t>deducted at source from income chargeable under the head "SALARIES"</t>
  </si>
  <si>
    <t xml:space="preserve">    Name and address of the Employer</t>
  </si>
  <si>
    <t xml:space="preserve">        PAN of the Deductor</t>
  </si>
  <si>
    <t xml:space="preserve">  Name and Designation of the Employee</t>
  </si>
  <si>
    <t xml:space="preserve">       TAN of the Deductor</t>
  </si>
  <si>
    <t xml:space="preserve">           PAN of the Employee</t>
  </si>
  <si>
    <t>CIT (TDS)</t>
  </si>
  <si>
    <t>Assessment year</t>
  </si>
  <si>
    <t xml:space="preserve">           Period</t>
  </si>
  <si>
    <t>Income Tax Officer</t>
  </si>
  <si>
    <t>-</t>
  </si>
  <si>
    <t>From</t>
  </si>
  <si>
    <t xml:space="preserve">  To</t>
  </si>
  <si>
    <t>C.I.S.F. Building,  I.D.P.L. Gate No. 2</t>
  </si>
  <si>
    <t>City</t>
  </si>
  <si>
    <t>RISHIKESH</t>
  </si>
  <si>
    <t>Pin Code</t>
  </si>
  <si>
    <t xml:space="preserve">          Summary Of Tax Deducted at source</t>
  </si>
  <si>
    <t>Receipt Numbers of original statements of TDS</t>
  </si>
  <si>
    <t xml:space="preserve">     Amount of Tax deducted in respect</t>
  </si>
  <si>
    <t xml:space="preserve">       Amount of Tax deposited / </t>
  </si>
  <si>
    <t xml:space="preserve">  under sub - section (3) of section 200</t>
  </si>
  <si>
    <t xml:space="preserve"> Quarter 1</t>
  </si>
  <si>
    <t xml:space="preserve"> Quarter 2</t>
  </si>
  <si>
    <t xml:space="preserve"> Quarter 3</t>
  </si>
  <si>
    <t xml:space="preserve"> Quarter 4</t>
  </si>
  <si>
    <t xml:space="preserve">   Total</t>
  </si>
  <si>
    <r>
      <rPr>
        <b/>
        <sz val="9"/>
        <rFont val="Arial"/>
        <charset val="134"/>
      </rPr>
      <t>PART B</t>
    </r>
    <r>
      <rPr>
        <sz val="9"/>
        <rFont val="Arial"/>
        <charset val="134"/>
      </rPr>
      <t xml:space="preserve"> (Refer Note I) Details of Salary paid and any other Income and tax deducted</t>
    </r>
  </si>
  <si>
    <t>1.  Gross Salary</t>
  </si>
  <si>
    <t xml:space="preserve">( a )  Salary as per provisions contained in section 17( 1 ) </t>
  </si>
  <si>
    <t xml:space="preserve">( b )  Value of perquisites under section 17 ( 2 ) </t>
  </si>
  <si>
    <t xml:space="preserve">        ( as per Form No. 12BB, wherever applicable )</t>
  </si>
  <si>
    <t>( c )  Profits in lieu of salary under section 17 ( 3 )</t>
  </si>
  <si>
    <t>( d )  Total</t>
  </si>
  <si>
    <r>
      <rPr>
        <sz val="8"/>
        <rFont val="Arial"/>
        <charset val="134"/>
      </rPr>
      <t xml:space="preserve">2.  </t>
    </r>
    <r>
      <rPr>
        <i/>
        <sz val="8"/>
        <rFont val="Arial"/>
        <charset val="134"/>
      </rPr>
      <t>Lees :</t>
    </r>
    <r>
      <rPr>
        <sz val="8"/>
        <rFont val="Arial"/>
        <charset val="134"/>
      </rPr>
      <t xml:space="preserve"> Allowance to the extent exempt under section 10</t>
    </r>
  </si>
  <si>
    <t xml:space="preserve">           Allowance </t>
  </si>
  <si>
    <t xml:space="preserve">   Rs.</t>
  </si>
  <si>
    <t>Medical Reimbursement Sec 17(2)</t>
  </si>
  <si>
    <t xml:space="preserve">     Total</t>
  </si>
  <si>
    <t>3.  Balance :  ( 1 - 2 )</t>
  </si>
  <si>
    <t>4.  Deductions :</t>
  </si>
  <si>
    <t>( a )  (a) Standard Deduction(Rs 50000)</t>
  </si>
  <si>
    <t>( b )   Tax on employment</t>
  </si>
  <si>
    <t>( c )   Interest on loan borrowed for house</t>
  </si>
  <si>
    <t>( d )     57 (iia) Rebati On Family Pension</t>
  </si>
  <si>
    <t>5. Aggregate of 4 ( a ) and ( b )</t>
  </si>
  <si>
    <t>6. Income chargeable under the head 'Salaries (3 - 5)</t>
  </si>
  <si>
    <r>
      <rPr>
        <sz val="8"/>
        <rFont val="Arial"/>
        <charset val="134"/>
      </rPr>
      <t>7.</t>
    </r>
    <r>
      <rPr>
        <i/>
        <sz val="8"/>
        <rFont val="Arial"/>
        <charset val="134"/>
      </rPr>
      <t xml:space="preserve"> Add :</t>
    </r>
    <r>
      <rPr>
        <sz val="8"/>
        <rFont val="Arial"/>
        <charset val="134"/>
      </rPr>
      <t xml:space="preserve"> Any other income reported by the employee</t>
    </r>
  </si>
  <si>
    <t>8. Gross total income ( 6 + 7 )</t>
  </si>
  <si>
    <t>9. Deductions under Chapter VIA</t>
  </si>
  <si>
    <t xml:space="preserve"> Gross Amount</t>
  </si>
  <si>
    <t>Qualiflying</t>
  </si>
  <si>
    <t>Deductible</t>
  </si>
  <si>
    <t>( A )  Sections 80 C, 80CCC and 80CCD</t>
  </si>
  <si>
    <t>Amount</t>
  </si>
  <si>
    <t>( a ) Section 80C</t>
  </si>
  <si>
    <t>( i )</t>
  </si>
  <si>
    <t xml:space="preserve">    G.P.F.</t>
  </si>
  <si>
    <t>( ii )</t>
  </si>
  <si>
    <t>( iii )</t>
  </si>
  <si>
    <t>P.P.F.</t>
  </si>
  <si>
    <t xml:space="preserve">    CPSN</t>
  </si>
  <si>
    <t>( iv )</t>
  </si>
  <si>
    <t>Tution Fee</t>
  </si>
  <si>
    <t>( v )</t>
  </si>
  <si>
    <t>L.I.C.</t>
  </si>
  <si>
    <t>( vi )</t>
  </si>
  <si>
    <t>N.S.C.</t>
  </si>
  <si>
    <t>( vii )</t>
  </si>
  <si>
    <t>P.L.I.</t>
  </si>
  <si>
    <t>( viii )</t>
  </si>
  <si>
    <t>Re Payment of house loan</t>
  </si>
  <si>
    <t>( ix  )</t>
  </si>
  <si>
    <t>sukanya samriddhi yojana</t>
  </si>
  <si>
    <t xml:space="preserve">( b )      Sections  80CCCD(1B) Employer's share (CPF) NPS </t>
  </si>
  <si>
    <t xml:space="preserve">( c )      Sections 80CCD(2) Employer's share (CPF) NPS </t>
  </si>
  <si>
    <t>Note :      1. Aggregate amount deductible under section 80C shall not exceed one lakh rupees.</t>
  </si>
  <si>
    <t xml:space="preserve"> 2. Aggregate amount deductible under section, i.e., 80C, 80CCC and 80CCD shall not exceed one lakh rupees</t>
  </si>
  <si>
    <r>
      <rPr>
        <sz val="10"/>
        <rFont val="Arial"/>
        <charset val="134"/>
      </rPr>
      <t xml:space="preserve"> (B)</t>
    </r>
    <r>
      <rPr>
        <sz val="7"/>
        <rFont val="Arial"/>
        <charset val="134"/>
      </rPr>
      <t xml:space="preserve"> Other Sections(e.g 80E, 80G, 80TTA,etc under Chapter VIA and 80</t>
    </r>
    <r>
      <rPr>
        <sz val="8"/>
        <rFont val="Arial"/>
        <charset val="134"/>
      </rPr>
      <t>CCD</t>
    </r>
  </si>
  <si>
    <t xml:space="preserve">   Gross Amount</t>
  </si>
  <si>
    <t>Qualiflying Amount</t>
  </si>
  <si>
    <t>Deductible Amount</t>
  </si>
  <si>
    <t>(ii)  Section 80(G) Donation for certain funds (C.M. relif Fund)</t>
  </si>
  <si>
    <t>(ii)  Section 80(D) Premium under mediclaim policy</t>
  </si>
  <si>
    <t>(iii) Section  80(DD) Medical treatment of handicapped</t>
  </si>
  <si>
    <t>(iv)  Section   80(E) Interest on loan for higher education</t>
  </si>
  <si>
    <t xml:space="preserve">(v) Section80(G) Donation for certain funds (100%)--             </t>
  </si>
  <si>
    <t>10. Aggregate of deductible amount under Chapter VI A</t>
  </si>
  <si>
    <t>11. Total Income (8-10)</t>
  </si>
  <si>
    <t>12. Tax on total income</t>
  </si>
  <si>
    <t>13. Relief Under Section 87 A</t>
  </si>
  <si>
    <t>14. Total Payble Tax</t>
  </si>
  <si>
    <t>15. Education cess @ 4%(on tax computed)</t>
  </si>
  <si>
    <t>16.Tax Payable ( 12 + 13  )</t>
  </si>
  <si>
    <t xml:space="preserve"> in 10's multiple</t>
  </si>
  <si>
    <r>
      <rPr>
        <sz val="8"/>
        <rFont val="Arial"/>
        <charset val="134"/>
      </rPr>
      <t xml:space="preserve">17. Less Relief under section 89 ( </t>
    </r>
    <r>
      <rPr>
        <i/>
        <sz val="8"/>
        <rFont val="Arial"/>
        <charset val="134"/>
      </rPr>
      <t>attach details</t>
    </r>
    <r>
      <rPr>
        <sz val="8"/>
        <rFont val="Arial"/>
        <charset val="134"/>
      </rPr>
      <t xml:space="preserve"> )</t>
    </r>
  </si>
  <si>
    <t xml:space="preserve">Advance tax </t>
  </si>
  <si>
    <t xml:space="preserve"> ( 16  - 17)</t>
  </si>
  <si>
    <t xml:space="preserve">19. Payable/ Refundable </t>
  </si>
  <si>
    <t>( 16-17-18)</t>
  </si>
  <si>
    <t>P.T.O.</t>
  </si>
  <si>
    <r>
      <rPr>
        <b/>
        <sz val="9"/>
        <rFont val="Arial"/>
        <charset val="134"/>
      </rPr>
      <t xml:space="preserve"> Verification -         </t>
    </r>
    <r>
      <rPr>
        <sz val="9"/>
        <rFont val="Arial"/>
        <charset val="134"/>
      </rPr>
      <t xml:space="preserve"> I</t>
    </r>
  </si>
  <si>
    <t>son   / of</t>
  </si>
  <si>
    <t>working  in the capacty of</t>
  </si>
  <si>
    <t>(designation)  do hereby  certify  that  a  sum</t>
  </si>
  <si>
    <t>of Rs.</t>
  </si>
  <si>
    <t>( in words)]</t>
  </si>
  <si>
    <t>has been deducted and deposited to the  credit of the Central Government. I further certify that the information given about</t>
  </si>
  <si>
    <t xml:space="preserve"> is true, complete and correct and is based on the books of account, documents, TDS deposited and other available records.</t>
  </si>
  <si>
    <t>Place :</t>
  </si>
  <si>
    <t>Date :</t>
  </si>
  <si>
    <t>Signature of the person responsible for deduction of tax</t>
  </si>
  <si>
    <t>Full Name</t>
  </si>
  <si>
    <t>Notes : 1.If an assessee is employed under more than one employer during the year, each of the employers shall issue Part A</t>
  </si>
  <si>
    <t>of the certificate in form No. 16 pertaining to the period for which such assessee was employed with each of the employers.</t>
  </si>
  <si>
    <t>Part B may be issued by each of the empioyers or the last employer at the option of the assessee. 2. Government deductors</t>
  </si>
  <si>
    <t>to enclose Annexure - A if tax is paid without prouction of an income-tax  challan and Annexure-B if tax is paid accompanied</t>
  </si>
  <si>
    <t>by an income-tax challan. 3. Non-Government deductors to enclose Annexure-B. 4. The deductor shall furnish the address of</t>
  </si>
  <si>
    <t>the Commissioner of income-tax (TDS) having jurisdiction as regards TDS statements of the assessee. This Form shall be</t>
  </si>
  <si>
    <t>applicable only in respect of tax deducted on or after 1st day of April,2011.</t>
  </si>
  <si>
    <t xml:space="preserve">          Annexure A</t>
  </si>
  <si>
    <t>Details of Tax Deducted and Deposited in the Central Government Account Through Book Entry</t>
  </si>
  <si>
    <t xml:space="preserve">         (The Employer to provide payment wise details of tax deducted and deposited with respect to the employee)</t>
  </si>
  <si>
    <t xml:space="preserve">          Book identification number (BIN)</t>
  </si>
  <si>
    <t>S.No.</t>
  </si>
  <si>
    <t>Tax Deposited in respect on of</t>
  </si>
  <si>
    <t>Receipt numbers of Form</t>
  </si>
  <si>
    <t>DDO Sequence Number in the</t>
  </si>
  <si>
    <t xml:space="preserve">  Date on which tax deposited</t>
  </si>
  <si>
    <t xml:space="preserve">     the employee (Rs.)</t>
  </si>
  <si>
    <t xml:space="preserve">        No. 24G</t>
  </si>
  <si>
    <t xml:space="preserve"> Book Adjustment</t>
  </si>
  <si>
    <t xml:space="preserve"> (dd/mm/yyyy)</t>
  </si>
  <si>
    <t xml:space="preserve">  Mini Statement</t>
  </si>
  <si>
    <t>Note :  1. In the column for TDS, give total amount for TDS, Surcharge (if applicabl) and education cess.</t>
  </si>
  <si>
    <t xml:space="preserve">          Annexure B</t>
  </si>
  <si>
    <t>Details of Tax Deducted and Deposited in the Central Government Account Through Challan</t>
  </si>
  <si>
    <t>BSR Code of the Bank Branch</t>
  </si>
  <si>
    <t>Date on which tax deposited</t>
  </si>
  <si>
    <t xml:space="preserve">     Challan Serial Number</t>
  </si>
  <si>
    <t xml:space="preserve">     5- 80(G) Donation for certain funds(as per 50% or 100%)--                                                                                                                                                                                             ef fundChief Minster relief fund</t>
  </si>
  <si>
    <t>( vi)  NPS (GOVT CONTR)</t>
  </si>
  <si>
    <t>( vii)  Other Allowance</t>
  </si>
  <si>
    <t>( viiI) Border Allowance</t>
  </si>
  <si>
    <t>Family Pension</t>
  </si>
  <si>
    <t>Donation  for Charity /C.M./P.M. Relief Fund</t>
  </si>
  <si>
    <r>
      <rPr>
        <b/>
        <sz val="9"/>
        <rFont val="Arial"/>
        <charset val="134"/>
      </rPr>
      <t xml:space="preserve">5- Standard Deduction u/s 16 </t>
    </r>
    <r>
      <rPr>
        <b/>
        <sz val="9"/>
        <color rgb="FFFF0000"/>
        <rFont val="Arial"/>
        <charset val="134"/>
      </rPr>
      <t xml:space="preserve"> Budget 2019</t>
    </r>
  </si>
  <si>
    <t>3-Subtraction under chapter 24</t>
  </si>
  <si>
    <t>4- Standard Deduction u/s 16 (ia) Maximum Rs. 75,000</t>
  </si>
  <si>
    <t>5-Income from other sources</t>
  </si>
  <si>
    <t>6-Gross income</t>
  </si>
  <si>
    <t xml:space="preserve">   1- CPSN </t>
  </si>
  <si>
    <t>7-Other sections Under Chapter VIA</t>
  </si>
  <si>
    <t>8 - Deduction :- Employer's Contribution (u/s 80CCD-2) in NPS Maximum 14% of Salary</t>
  </si>
  <si>
    <t>9-   Aggregate of deductible amount under chapter VIA</t>
  </si>
  <si>
    <t>10-Taxable income (6-7)</t>
  </si>
  <si>
    <t>11-Calculation of  tax</t>
  </si>
  <si>
    <t>Tax Rebate of Rs. 25,000 (For Income of less than 7 lakhs) (Budget 2023)</t>
  </si>
  <si>
    <t xml:space="preserve">Total Tax Payable  </t>
  </si>
  <si>
    <t>Tax Surcharge @ 5%/10%/15%/20%/30</t>
  </si>
  <si>
    <r>
      <rPr>
        <b/>
        <sz val="9"/>
        <rFont val="Arial"/>
        <charset val="134"/>
      </rPr>
      <t xml:space="preserve">12- Health &amp; Education Cess@ 4 % of  </t>
    </r>
    <r>
      <rPr>
        <sz val="9"/>
        <rFont val="Arial"/>
        <charset val="134"/>
      </rPr>
      <t>(</t>
    </r>
    <r>
      <rPr>
        <b/>
        <sz val="9"/>
        <rFont val="Arial"/>
        <charset val="134"/>
      </rPr>
      <t xml:space="preserve"> </t>
    </r>
    <r>
      <rPr>
        <sz val="9"/>
        <rFont val="Arial"/>
        <charset val="134"/>
      </rPr>
      <t>Tax + Surcharge )</t>
    </r>
  </si>
  <si>
    <t>up to Rs-3000000</t>
  </si>
  <si>
    <t>13-Net payable tax</t>
  </si>
  <si>
    <t>300001-700000</t>
  </si>
  <si>
    <t>700001-1000000</t>
  </si>
  <si>
    <t>14-Advance tax paid April 24 to January 25</t>
  </si>
  <si>
    <t>1000001-1200000</t>
  </si>
  <si>
    <t>15-Balance Tax</t>
  </si>
  <si>
    <t>1200001-1500000</t>
  </si>
  <si>
    <t>16- Total Income Tax Payable</t>
  </si>
  <si>
    <t>above Rs 15000000</t>
  </si>
  <si>
    <t>17-Rest tax payable from the salary of February 2025</t>
  </si>
  <si>
    <t>.</t>
  </si>
  <si>
    <t>New tax Slab</t>
  </si>
  <si>
    <t>( b )      Sections 80CCC</t>
  </si>
  <si>
    <t>(ii)  Section</t>
  </si>
  <si>
    <t>(iii) Section</t>
  </si>
  <si>
    <t xml:space="preserve">(iv)  Section </t>
  </si>
  <si>
    <t>(v) Section</t>
  </si>
  <si>
    <t>19. Payable/ Refundable ( 16-17-18)</t>
  </si>
  <si>
    <t>Dedution under  section 80C</t>
  </si>
  <si>
    <t xml:space="preserve">LIC </t>
  </si>
  <si>
    <t>PPF</t>
  </si>
  <si>
    <t>NSC</t>
  </si>
  <si>
    <t>Tuetion Fee</t>
  </si>
  <si>
    <t xml:space="preserve">Investment in sukanya samridhi </t>
  </si>
  <si>
    <t>Other</t>
  </si>
  <si>
    <t>House lone (Principal amount)</t>
  </si>
  <si>
    <t>Exemption on HRA</t>
  </si>
  <si>
    <t>Exemption on other allowance</t>
  </si>
  <si>
    <t>Exemption u/s 24 (Home loan Intrest)</t>
  </si>
  <si>
    <t xml:space="preserve">Tax Payable / Refundable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</si>
</sst>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;[Red]0"/>
    <numFmt numFmtId="165" formatCode="_(* #,##0_);_(* \(#,##0\);_(* &quot;-&quot;??_);_(@_)"/>
    <numFmt numFmtId="166" formatCode="#,##0\ ;&quot; (&quot;#,##0\);&quot; -&quot;#\ ;@\ "/>
  </numFmts>
  <fonts count="136">
    <font>
      <sz val="10"/>
      <name val="Arial"/>
      <charset val="134"/>
    </font>
    <font>
      <b/>
      <sz val="8"/>
      <color theme="1"/>
      <name val="Arial"/>
      <charset val="134"/>
    </font>
    <font>
      <b/>
      <sz val="9"/>
      <color theme="1"/>
      <name val="Arial"/>
      <charset val="134"/>
    </font>
    <font>
      <b/>
      <sz val="9"/>
      <color rgb="FFFF0000"/>
      <name val="Arial"/>
      <charset val="134"/>
    </font>
    <font>
      <sz val="8"/>
      <color theme="1"/>
      <name val="Arial"/>
      <charset val="134"/>
    </font>
    <font>
      <sz val="10"/>
      <name val="Arial"/>
      <charset val="134"/>
    </font>
    <font>
      <b/>
      <sz val="12"/>
      <name val="Arial"/>
      <charset val="134"/>
    </font>
    <font>
      <sz val="12"/>
      <name val="Arial"/>
      <charset val="134"/>
    </font>
    <font>
      <sz val="8"/>
      <name val="Arial"/>
      <charset val="134"/>
    </font>
    <font>
      <b/>
      <sz val="9"/>
      <name val="Arial"/>
      <charset val="134"/>
    </font>
    <font>
      <sz val="9"/>
      <name val="Arial"/>
      <charset val="134"/>
    </font>
    <font>
      <b/>
      <sz val="8"/>
      <name val="Arial"/>
      <charset val="134"/>
    </font>
    <font>
      <b/>
      <sz val="10"/>
      <name val="Arial"/>
      <charset val="134"/>
    </font>
    <font>
      <sz val="10"/>
      <color theme="0"/>
      <name val="Arial"/>
      <charset val="134"/>
    </font>
    <font>
      <sz val="6"/>
      <name val="Arial"/>
      <charset val="134"/>
    </font>
    <font>
      <u/>
      <sz val="16"/>
      <color theme="10"/>
      <name val="Arial"/>
      <charset val="134"/>
    </font>
    <font>
      <b/>
      <sz val="11"/>
      <name val="Arial"/>
      <charset val="134"/>
    </font>
    <font>
      <b/>
      <sz val="20"/>
      <name val="Arial"/>
      <charset val="134"/>
    </font>
    <font>
      <b/>
      <sz val="14"/>
      <name val="Arial"/>
      <charset val="134"/>
    </font>
    <font>
      <u/>
      <sz val="18"/>
      <color theme="10"/>
      <name val="Arial"/>
      <charset val="134"/>
    </font>
    <font>
      <sz val="14"/>
      <name val="Arial"/>
      <charset val="134"/>
    </font>
    <font>
      <sz val="11"/>
      <name val="Arial"/>
      <charset val="134"/>
    </font>
    <font>
      <b/>
      <sz val="10"/>
      <color rgb="FFFF0000"/>
      <name val="Arial"/>
      <charset val="134"/>
    </font>
    <font>
      <sz val="10"/>
      <color rgb="FFFF0000"/>
      <name val="Arial"/>
      <charset val="134"/>
    </font>
    <font>
      <b/>
      <sz val="11"/>
      <color theme="1"/>
      <name val="Calibri"/>
      <charset val="134"/>
      <scheme val="minor"/>
    </font>
    <font>
      <sz val="12"/>
      <color rgb="FFFF0000"/>
      <name val="Arial"/>
      <charset val="134"/>
    </font>
    <font>
      <sz val="16"/>
      <name val="Arial"/>
      <charset val="134"/>
    </font>
    <font>
      <b/>
      <sz val="16"/>
      <name val="Arial"/>
      <charset val="134"/>
    </font>
    <font>
      <b/>
      <sz val="18"/>
      <name val="Kruti Dev 010"/>
      <charset val="134"/>
    </font>
    <font>
      <b/>
      <sz val="7"/>
      <name val="Arial"/>
      <charset val="134"/>
    </font>
    <font>
      <sz val="10"/>
      <color indexed="9"/>
      <name val="Arial"/>
      <charset val="134"/>
    </font>
    <font>
      <b/>
      <sz val="14"/>
      <color rgb="FF00B0F0"/>
      <name val="Arial"/>
      <charset val="134"/>
    </font>
    <font>
      <b/>
      <sz val="12"/>
      <color rgb="FFFF0000"/>
      <name val="Arial"/>
      <charset val="134"/>
    </font>
    <font>
      <sz val="18"/>
      <name val="Kruti Dev 010"/>
      <charset val="134"/>
    </font>
    <font>
      <sz val="8"/>
      <color rgb="FF000000"/>
      <name val="Verdana"/>
      <charset val="134"/>
    </font>
    <font>
      <sz val="12"/>
      <name val="Kruti Dev 010"/>
      <charset val="134"/>
    </font>
    <font>
      <u/>
      <sz val="20"/>
      <color theme="10"/>
      <name val="Arial"/>
      <charset val="134"/>
    </font>
    <font>
      <u/>
      <sz val="20"/>
      <color rgb="FF800080"/>
      <name val="Arial"/>
      <charset val="134"/>
    </font>
    <font>
      <sz val="8"/>
      <color rgb="FF343434"/>
      <name val="Arial"/>
      <charset val="134"/>
    </font>
    <font>
      <sz val="20"/>
      <name val="Arial Black"/>
      <charset val="134"/>
    </font>
    <font>
      <b/>
      <sz val="11"/>
      <name val="Calibri"/>
      <charset val="134"/>
      <scheme val="minor"/>
    </font>
    <font>
      <b/>
      <sz val="12"/>
      <name val="Calibri"/>
      <charset val="134"/>
      <scheme val="minor"/>
    </font>
    <font>
      <sz val="11"/>
      <name val="Calibri"/>
      <charset val="134"/>
      <scheme val="minor"/>
    </font>
    <font>
      <b/>
      <sz val="20"/>
      <name val="Calibri"/>
      <charset val="134"/>
      <scheme val="minor"/>
    </font>
    <font>
      <b/>
      <sz val="16"/>
      <color theme="1"/>
      <name val="Times New Roman"/>
      <charset val="134"/>
    </font>
    <font>
      <sz val="12"/>
      <name val="Calibri"/>
      <charset val="134"/>
      <scheme val="minor"/>
    </font>
    <font>
      <b/>
      <sz val="10"/>
      <color theme="1"/>
      <name val="Times New Roman"/>
      <charset val="134"/>
    </font>
    <font>
      <b/>
      <sz val="9"/>
      <color theme="1"/>
      <name val="Times New Roman"/>
      <charset val="134"/>
    </font>
    <font>
      <sz val="1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b/>
      <sz val="12"/>
      <color theme="0"/>
      <name val="Times New Roman"/>
      <charset val="134"/>
    </font>
    <font>
      <b/>
      <sz val="12"/>
      <color theme="1"/>
      <name val="Times New Roman"/>
      <charset val="134"/>
    </font>
    <font>
      <b/>
      <sz val="12"/>
      <name val="Times New Roman"/>
      <charset val="134"/>
    </font>
    <font>
      <b/>
      <sz val="12"/>
      <color rgb="FFFF0000"/>
      <name val="Times New Roman"/>
      <charset val="134"/>
    </font>
    <font>
      <sz val="12"/>
      <color theme="1"/>
      <name val="Calibri"/>
      <charset val="134"/>
      <scheme val="minor"/>
    </font>
    <font>
      <b/>
      <sz val="36"/>
      <color rgb="FFFF0000"/>
      <name val="Times New Roman"/>
      <charset val="134"/>
    </font>
    <font>
      <b/>
      <sz val="24"/>
      <color rgb="FFFF0000"/>
      <name val="Arial"/>
      <charset val="134"/>
    </font>
    <font>
      <sz val="10"/>
      <color theme="1"/>
      <name val="Arial"/>
      <charset val="134"/>
    </font>
    <font>
      <b/>
      <i/>
      <sz val="16"/>
      <color rgb="FFFF0000"/>
      <name val="Arial"/>
      <charset val="134"/>
    </font>
    <font>
      <sz val="16"/>
      <color rgb="FF0070C0"/>
      <name val="Georgia"/>
      <charset val="134"/>
    </font>
    <font>
      <b/>
      <sz val="16"/>
      <color rgb="FF0070C0"/>
      <name val="Georgia"/>
      <charset val="134"/>
    </font>
    <font>
      <sz val="10"/>
      <color indexed="58"/>
      <name val="Arial"/>
      <charset val="134"/>
    </font>
    <font>
      <b/>
      <sz val="9"/>
      <color indexed="58"/>
      <name val="Arial"/>
      <charset val="134"/>
    </font>
    <font>
      <sz val="11"/>
      <color indexed="58"/>
      <name val="Arial"/>
      <charset val="134"/>
    </font>
    <font>
      <sz val="11"/>
      <color theme="1"/>
      <name val="Arial"/>
      <charset val="134"/>
    </font>
    <font>
      <b/>
      <sz val="11"/>
      <color rgb="FFFF0000"/>
      <name val="Arial"/>
      <charset val="134"/>
    </font>
    <font>
      <sz val="9"/>
      <color indexed="58"/>
      <name val="Arial"/>
      <charset val="134"/>
    </font>
    <font>
      <b/>
      <sz val="11"/>
      <color indexed="58"/>
      <name val="Arial"/>
      <charset val="134"/>
    </font>
    <font>
      <sz val="12"/>
      <color indexed="58"/>
      <name val="Arial"/>
      <charset val="134"/>
    </font>
    <font>
      <b/>
      <sz val="14"/>
      <color theme="1"/>
      <name val="Calibri"/>
      <charset val="134"/>
      <scheme val="minor"/>
    </font>
    <font>
      <sz val="8"/>
      <color indexed="58"/>
      <name val="Arial"/>
      <charset val="134"/>
    </font>
    <font>
      <b/>
      <sz val="10"/>
      <color indexed="58"/>
      <name val="Arial"/>
      <charset val="134"/>
    </font>
    <font>
      <b/>
      <sz val="11"/>
      <color theme="1"/>
      <name val="Arial"/>
      <charset val="134"/>
    </font>
    <font>
      <sz val="11"/>
      <color rgb="FF9C6500"/>
      <name val="Calibri"/>
      <charset val="134"/>
      <scheme val="minor"/>
    </font>
    <font>
      <sz val="11"/>
      <color rgb="FF002060"/>
      <name val="Calibri"/>
      <charset val="134"/>
      <scheme val="minor"/>
    </font>
    <font>
      <b/>
      <sz val="10"/>
      <color theme="1"/>
      <name val="Arial"/>
      <charset val="134"/>
    </font>
    <font>
      <b/>
      <sz val="14"/>
      <color rgb="FFFF0000"/>
      <name val="Calibri"/>
      <charset val="134"/>
      <scheme val="minor"/>
    </font>
    <font>
      <sz val="10"/>
      <color indexed="41"/>
      <name val="Arial"/>
      <charset val="134"/>
    </font>
    <font>
      <sz val="9"/>
      <color rgb="FF343434"/>
      <name val="Arial"/>
      <charset val="134"/>
    </font>
    <font>
      <sz val="10"/>
      <color rgb="FF343434"/>
      <name val="Arial"/>
      <charset val="134"/>
    </font>
    <font>
      <sz val="16"/>
      <name val="Kruti Dev 011"/>
      <charset val="134"/>
    </font>
    <font>
      <sz val="16"/>
      <color theme="1"/>
      <name val="Calibri"/>
      <charset val="134"/>
      <scheme val="minor"/>
    </font>
    <font>
      <sz val="16"/>
      <name val="Kruti Dev 010"/>
      <charset val="134"/>
    </font>
    <font>
      <sz val="11"/>
      <name val="Kruti Dev 011"/>
      <charset val="134"/>
    </font>
    <font>
      <sz val="12"/>
      <name val="Kruti Dev 011"/>
      <charset val="134"/>
    </font>
    <font>
      <b/>
      <sz val="16"/>
      <name val="Calibri"/>
      <charset val="134"/>
      <scheme val="minor"/>
    </font>
    <font>
      <b/>
      <sz val="8"/>
      <color rgb="FF343434"/>
      <name val="Arial"/>
      <charset val="134"/>
    </font>
    <font>
      <sz val="10"/>
      <color indexed="8"/>
      <name val="Arial"/>
      <charset val="134"/>
    </font>
    <font>
      <sz val="16"/>
      <color theme="10"/>
      <name val="Arial"/>
      <charset val="134"/>
    </font>
    <font>
      <b/>
      <sz val="11"/>
      <color rgb="FFFF0000"/>
      <name val="Kruti Dev 010"/>
      <charset val="134"/>
    </font>
    <font>
      <b/>
      <u/>
      <sz val="14"/>
      <color theme="10"/>
      <name val="Arial"/>
      <charset val="134"/>
    </font>
    <font>
      <b/>
      <sz val="28"/>
      <color rgb="FFFF0000"/>
      <name val="Arial"/>
      <charset val="134"/>
    </font>
    <font>
      <b/>
      <sz val="28"/>
      <color rgb="FF00B050"/>
      <name val="Arial"/>
      <charset val="134"/>
    </font>
    <font>
      <b/>
      <sz val="12"/>
      <color theme="1"/>
      <name val="Arial"/>
      <charset val="134"/>
    </font>
    <font>
      <b/>
      <sz val="16"/>
      <color theme="1"/>
      <name val="Arial"/>
      <charset val="134"/>
    </font>
    <font>
      <u/>
      <sz val="14"/>
      <color theme="10"/>
      <name val="Arial"/>
      <charset val="134"/>
    </font>
    <font>
      <sz val="11"/>
      <color theme="1"/>
      <name val="Segoe UI"/>
      <charset val="134"/>
    </font>
    <font>
      <b/>
      <sz val="12"/>
      <color rgb="FF002060"/>
      <name val="Arial Narrow"/>
      <charset val="134"/>
    </font>
    <font>
      <b/>
      <sz val="12"/>
      <color rgb="FF002060"/>
      <name val="Kruti Dev 010"/>
      <charset val="134"/>
    </font>
    <font>
      <b/>
      <sz val="12"/>
      <color rgb="FF7030A0"/>
      <name val="Kruti Dev 010"/>
      <charset val="134"/>
    </font>
    <font>
      <b/>
      <sz val="14"/>
      <color rgb="FF00B050"/>
      <name val="Gill Sans MT"/>
      <charset val="134"/>
    </font>
    <font>
      <b/>
      <i/>
      <sz val="12"/>
      <color rgb="FFFF0000"/>
      <name val="Cambria"/>
      <charset val="134"/>
    </font>
    <font>
      <b/>
      <sz val="22"/>
      <color rgb="FFFF0000"/>
      <name val="Arial"/>
      <charset val="134"/>
    </font>
    <font>
      <b/>
      <sz val="10"/>
      <color rgb="FF00B0F0"/>
      <name val="Arial"/>
      <charset val="134"/>
    </font>
    <font>
      <b/>
      <u/>
      <sz val="12"/>
      <color rgb="FF002060"/>
      <name val="Kruti Dev 010"/>
      <charset val="134"/>
    </font>
    <font>
      <u/>
      <sz val="18"/>
      <color rgb="FF0070C0"/>
      <name val="Arial"/>
      <charset val="134"/>
    </font>
    <font>
      <sz val="10"/>
      <color rgb="FF0070C0"/>
      <name val="Arial"/>
      <charset val="134"/>
    </font>
    <font>
      <u/>
      <sz val="20"/>
      <color rgb="FF0070C0"/>
      <name val="Arial"/>
      <charset val="134"/>
    </font>
    <font>
      <b/>
      <sz val="8"/>
      <color rgb="FF002060"/>
      <name val="Kruti Dev 010"/>
      <charset val="134"/>
    </font>
    <font>
      <b/>
      <sz val="8"/>
      <color rgb="FF002060"/>
      <name val="Arial"/>
      <charset val="134"/>
    </font>
    <font>
      <u/>
      <sz val="16"/>
      <color rgb="FF0070C0"/>
      <name val="Arial"/>
      <charset val="134"/>
    </font>
    <font>
      <b/>
      <sz val="16"/>
      <color theme="10"/>
      <name val="Arial"/>
      <charset val="134"/>
    </font>
    <font>
      <b/>
      <sz val="8"/>
      <color rgb="FFFF0000"/>
      <name val="Arial"/>
      <charset val="134"/>
    </font>
    <font>
      <b/>
      <sz val="14"/>
      <color theme="3"/>
      <name val="Arial"/>
      <charset val="134"/>
    </font>
    <font>
      <b/>
      <sz val="14"/>
      <color theme="1"/>
      <name val="Arial"/>
      <charset val="134"/>
    </font>
    <font>
      <sz val="11"/>
      <color rgb="FF3A3A3A"/>
      <name val="Segoe UI"/>
      <charset val="134"/>
    </font>
    <font>
      <u/>
      <sz val="10"/>
      <color theme="10"/>
      <name val="Arial"/>
      <charset val="134"/>
    </font>
    <font>
      <sz val="11"/>
      <color theme="1"/>
      <name val="Calibri"/>
      <charset val="134"/>
      <scheme val="minor"/>
    </font>
    <font>
      <b/>
      <sz val="12"/>
      <color rgb="FF7030A0"/>
      <name val="Times New Roman"/>
      <charset val="134"/>
    </font>
    <font>
      <b/>
      <sz val="12"/>
      <color rgb="FF7030A0"/>
      <name val="Cambria"/>
      <charset val="134"/>
    </font>
    <font>
      <b/>
      <sz val="11"/>
      <color rgb="FFFF0000"/>
      <name val="Times New Roman"/>
      <charset val="134"/>
    </font>
    <font>
      <b/>
      <sz val="8"/>
      <color rgb="FFFF0000"/>
      <name val="Times New Roman"/>
      <charset val="134"/>
    </font>
    <font>
      <b/>
      <sz val="12"/>
      <color rgb="FF002060"/>
      <name val="Times New Roman"/>
      <charset val="134"/>
    </font>
    <font>
      <b/>
      <sz val="11"/>
      <color rgb="FF002060"/>
      <name val="Times New Roman"/>
      <charset val="134"/>
    </font>
    <font>
      <b/>
      <sz val="12"/>
      <color rgb="FFFF0000"/>
      <name val="Nirmala UI"/>
      <charset val="134"/>
    </font>
    <font>
      <sz val="7"/>
      <name val="Arial"/>
      <charset val="134"/>
    </font>
    <font>
      <sz val="8"/>
      <color indexed="8"/>
      <name val="Arial"/>
      <charset val="134"/>
    </font>
    <font>
      <b/>
      <sz val="8"/>
      <color rgb="FFFF0000"/>
      <name val="Kruti Dev 010"/>
      <charset val="134"/>
    </font>
    <font>
      <b/>
      <sz val="11"/>
      <name val="Wingdings"/>
      <charset val="2"/>
    </font>
    <font>
      <i/>
      <sz val="8"/>
      <name val="Arial"/>
      <charset val="134"/>
    </font>
    <font>
      <b/>
      <sz val="12"/>
      <color rgb="FFFF0000"/>
      <name val="Kruti Dev 010"/>
      <charset val="134"/>
    </font>
    <font>
      <b/>
      <sz val="16"/>
      <color rgb="FFFF0000"/>
      <name val="Kruti Dev 010"/>
      <charset val="134"/>
    </font>
    <font>
      <b/>
      <sz val="14"/>
      <color rgb="FF00B050"/>
      <name val="Kruti Dev 010"/>
      <charset val="134"/>
    </font>
    <font>
      <b/>
      <sz val="9"/>
      <name val="Tahoma"/>
      <charset val="134"/>
    </font>
    <font>
      <sz val="9"/>
      <name val="Tahoma"/>
      <charset val="134"/>
    </font>
    <font>
      <sz val="9"/>
      <color indexed="10"/>
      <name val="Tahoma"/>
      <charset val="134"/>
    </font>
  </fonts>
  <fills count="2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6F6F6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 style="dashed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dashed">
        <color auto="1"/>
      </top>
      <bottom style="dotted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dashed">
        <color auto="1"/>
      </bottom>
      <diagonal/>
    </border>
    <border>
      <left/>
      <right style="thin">
        <color auto="1"/>
      </right>
      <top style="hair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hair">
        <color auto="1"/>
      </bottom>
      <diagonal/>
    </border>
    <border>
      <left/>
      <right style="thin">
        <color auto="1"/>
      </right>
      <top style="dashed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73" fillId="2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117" fillId="0" borderId="0"/>
  </cellStyleXfs>
  <cellXfs count="1255">
    <xf numFmtId="0" fontId="0" fillId="0" borderId="0" xfId="0"/>
    <xf numFmtId="0" fontId="1" fillId="0" borderId="1" xfId="0" applyFont="1" applyBorder="1" applyAlignment="1" applyProtection="1">
      <alignment vertical="center"/>
      <protection hidden="1"/>
    </xf>
    <xf numFmtId="3" fontId="3" fillId="0" borderId="6" xfId="0" applyNumberFormat="1" applyFont="1" applyBorder="1" applyAlignment="1" applyProtection="1">
      <alignment horizontal="right" vertical="center"/>
      <protection locked="0" hidden="1"/>
    </xf>
    <xf numFmtId="3" fontId="3" fillId="0" borderId="6" xfId="0" applyNumberFormat="1" applyFont="1" applyBorder="1" applyAlignment="1" applyProtection="1">
      <alignment vertical="center"/>
      <protection locked="0" hidden="1"/>
    </xf>
    <xf numFmtId="0" fontId="2" fillId="0" borderId="6" xfId="0" applyFont="1" applyBorder="1" applyAlignment="1" applyProtection="1">
      <alignment horizontal="center" vertical="center"/>
      <protection hidden="1"/>
    </xf>
    <xf numFmtId="3" fontId="3" fillId="2" borderId="6" xfId="0" applyNumberFormat="1" applyFont="1" applyFill="1" applyBorder="1" applyAlignment="1" applyProtection="1">
      <alignment vertical="center"/>
      <protection locked="0" hidden="1"/>
    </xf>
    <xf numFmtId="0" fontId="5" fillId="0" borderId="0" xfId="0" applyFont="1"/>
    <xf numFmtId="0" fontId="0" fillId="0" borderId="0" xfId="0" applyProtection="1">
      <protection hidden="1"/>
    </xf>
    <xf numFmtId="0" fontId="6" fillId="0" borderId="9" xfId="0" applyFont="1" applyBorder="1" applyAlignment="1" applyProtection="1">
      <alignment vertical="center"/>
      <protection hidden="1"/>
    </xf>
    <xf numFmtId="0" fontId="6" fillId="0" borderId="10" xfId="0" applyFont="1" applyBorder="1" applyAlignment="1" applyProtection="1">
      <alignment vertical="center"/>
      <protection hidden="1"/>
    </xf>
    <xf numFmtId="0" fontId="7" fillId="0" borderId="10" xfId="0" applyFont="1" applyBorder="1" applyAlignment="1" applyProtection="1">
      <alignment vertical="center"/>
      <protection hidden="1"/>
    </xf>
    <xf numFmtId="0" fontId="7" fillId="0" borderId="11" xfId="0" applyFont="1" applyBorder="1" applyAlignment="1" applyProtection="1">
      <alignment vertical="center"/>
      <protection hidden="1"/>
    </xf>
    <xf numFmtId="0" fontId="8" fillId="0" borderId="12" xfId="0" applyFont="1" applyBorder="1" applyProtection="1">
      <protection hidden="1"/>
    </xf>
    <xf numFmtId="0" fontId="8" fillId="0" borderId="13" xfId="0" applyFont="1" applyBorder="1" applyProtection="1">
      <protection hidden="1"/>
    </xf>
    <xf numFmtId="0" fontId="8" fillId="0" borderId="14" xfId="0" applyFont="1" applyBorder="1" applyProtection="1">
      <protection hidden="1"/>
    </xf>
    <xf numFmtId="0" fontId="0" fillId="0" borderId="1" xfId="0" applyBorder="1" applyProtection="1">
      <protection hidden="1"/>
    </xf>
    <xf numFmtId="0" fontId="0" fillId="0" borderId="15" xfId="0" applyBorder="1" applyProtection="1">
      <protection hidden="1"/>
    </xf>
    <xf numFmtId="0" fontId="8" fillId="0" borderId="16" xfId="0" applyFont="1" applyBorder="1" applyProtection="1">
      <protection hidden="1"/>
    </xf>
    <xf numFmtId="0" fontId="8" fillId="0" borderId="17" xfId="0" applyFont="1" applyBorder="1" applyProtection="1">
      <protection hidden="1"/>
    </xf>
    <xf numFmtId="0" fontId="8" fillId="0" borderId="18" xfId="0" applyFont="1" applyBorder="1" applyProtection="1">
      <protection hidden="1"/>
    </xf>
    <xf numFmtId="0" fontId="8" fillId="0" borderId="20" xfId="0" applyFont="1" applyBorder="1" applyProtection="1">
      <protection hidden="1"/>
    </xf>
    <xf numFmtId="0" fontId="8" fillId="0" borderId="21" xfId="0" applyFont="1" applyBorder="1" applyProtection="1">
      <protection hidden="1"/>
    </xf>
    <xf numFmtId="0" fontId="8" fillId="0" borderId="22" xfId="0" applyFont="1" applyBorder="1" applyProtection="1">
      <protection hidden="1"/>
    </xf>
    <xf numFmtId="0" fontId="8" fillId="0" borderId="1" xfId="0" applyFont="1" applyBorder="1" applyProtection="1">
      <protection hidden="1"/>
    </xf>
    <xf numFmtId="0" fontId="8" fillId="0" borderId="0" xfId="0" applyFont="1" applyProtection="1">
      <protection hidden="1"/>
    </xf>
    <xf numFmtId="0" fontId="8" fillId="0" borderId="18" xfId="0" applyFont="1" applyBorder="1"/>
    <xf numFmtId="0" fontId="8" fillId="0" borderId="19" xfId="0" applyFont="1" applyBorder="1"/>
    <xf numFmtId="0" fontId="8" fillId="0" borderId="23" xfId="0" applyFont="1" applyBorder="1"/>
    <xf numFmtId="0" fontId="8" fillId="0" borderId="24" xfId="0" applyFont="1" applyBorder="1"/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8" fillId="0" borderId="4" xfId="0" applyFont="1" applyBorder="1"/>
    <xf numFmtId="0" fontId="8" fillId="0" borderId="0" xfId="0" applyFont="1"/>
    <xf numFmtId="0" fontId="8" fillId="0" borderId="25" xfId="0" applyFont="1" applyBorder="1"/>
    <xf numFmtId="0" fontId="8" fillId="0" borderId="26" xfId="0" applyFont="1" applyBorder="1"/>
    <xf numFmtId="0" fontId="8" fillId="0" borderId="3" xfId="0" applyFont="1" applyBorder="1"/>
    <xf numFmtId="0" fontId="8" fillId="0" borderId="5" xfId="0" applyFont="1" applyBorder="1"/>
    <xf numFmtId="0" fontId="8" fillId="0" borderId="22" xfId="0" applyFont="1" applyBorder="1"/>
    <xf numFmtId="0" fontId="0" fillId="0" borderId="26" xfId="0" applyBorder="1"/>
    <xf numFmtId="0" fontId="0" fillId="0" borderId="5" xfId="0" applyBorder="1"/>
    <xf numFmtId="0" fontId="0" fillId="0" borderId="1" xfId="0" applyBorder="1"/>
    <xf numFmtId="0" fontId="0" fillId="0" borderId="4" xfId="0" applyBorder="1"/>
    <xf numFmtId="0" fontId="0" fillId="0" borderId="3" xfId="0" applyBorder="1"/>
    <xf numFmtId="0" fontId="9" fillId="0" borderId="4" xfId="0" applyFont="1" applyBorder="1"/>
    <xf numFmtId="0" fontId="10" fillId="0" borderId="4" xfId="0" applyFont="1" applyBorder="1"/>
    <xf numFmtId="0" fontId="11" fillId="0" borderId="0" xfId="0" applyFont="1" applyProtection="1">
      <protection hidden="1"/>
    </xf>
    <xf numFmtId="0" fontId="8" fillId="0" borderId="4" xfId="0" applyFont="1" applyBorder="1" applyProtection="1"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0" borderId="15" xfId="0" applyFont="1" applyBorder="1" applyProtection="1">
      <protection hidden="1"/>
    </xf>
    <xf numFmtId="0" fontId="11" fillId="0" borderId="0" xfId="0" applyFont="1" applyAlignment="1" applyProtection="1">
      <alignment horizontal="left"/>
      <protection hidden="1"/>
    </xf>
    <xf numFmtId="0" fontId="8" fillId="0" borderId="0" xfId="0" applyFont="1" applyAlignment="1" applyProtection="1">
      <alignment horizontal="center" vertical="top"/>
      <protection hidden="1"/>
    </xf>
    <xf numFmtId="0" fontId="5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8" fillId="0" borderId="25" xfId="0" applyFont="1" applyBorder="1" applyProtection="1">
      <protection hidden="1"/>
    </xf>
    <xf numFmtId="0" fontId="8" fillId="0" borderId="27" xfId="0" applyFont="1" applyBorder="1" applyAlignment="1" applyProtection="1">
      <alignment horizontal="left"/>
      <protection hidden="1"/>
    </xf>
    <xf numFmtId="0" fontId="8" fillId="0" borderId="6" xfId="0" applyFont="1" applyBorder="1" applyAlignment="1" applyProtection="1">
      <alignment horizontal="center"/>
      <protection hidden="1"/>
    </xf>
    <xf numFmtId="0" fontId="8" fillId="0" borderId="3" xfId="0" applyFont="1" applyBorder="1" applyProtection="1">
      <protection hidden="1"/>
    </xf>
    <xf numFmtId="0" fontId="8" fillId="0" borderId="28" xfId="0" applyFont="1" applyBorder="1" applyProtection="1">
      <protection hidden="1"/>
    </xf>
    <xf numFmtId="0" fontId="8" fillId="0" borderId="26" xfId="0" applyFont="1" applyBorder="1" applyProtection="1">
      <protection hidden="1"/>
    </xf>
    <xf numFmtId="0" fontId="8" fillId="0" borderId="5" xfId="0" applyFont="1" applyBorder="1" applyProtection="1">
      <protection hidden="1"/>
    </xf>
    <xf numFmtId="0" fontId="8" fillId="0" borderId="17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top"/>
      <protection hidden="1"/>
    </xf>
    <xf numFmtId="0" fontId="8" fillId="0" borderId="19" xfId="0" applyFont="1" applyBorder="1" applyProtection="1">
      <protection hidden="1"/>
    </xf>
    <xf numFmtId="0" fontId="12" fillId="0" borderId="0" xfId="0" applyFont="1"/>
    <xf numFmtId="0" fontId="8" fillId="0" borderId="5" xfId="0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30" xfId="0" applyFont="1" applyBorder="1"/>
    <xf numFmtId="0" fontId="8" fillId="0" borderId="29" xfId="0" applyFont="1" applyBorder="1"/>
    <xf numFmtId="0" fontId="10" fillId="0" borderId="0" xfId="0" applyFont="1"/>
    <xf numFmtId="0" fontId="8" fillId="0" borderId="0" xfId="0" applyFont="1" applyAlignment="1" applyProtection="1">
      <alignment horizontal="right"/>
      <protection hidden="1"/>
    </xf>
    <xf numFmtId="2" fontId="8" fillId="0" borderId="5" xfId="0" applyNumberFormat="1" applyFont="1" applyBorder="1" applyProtection="1">
      <protection hidden="1"/>
    </xf>
    <xf numFmtId="0" fontId="8" fillId="0" borderId="15" xfId="0" applyFont="1" applyBorder="1"/>
    <xf numFmtId="0" fontId="8" fillId="0" borderId="17" xfId="0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1" fontId="8" fillId="0" borderId="6" xfId="0" applyNumberFormat="1" applyFont="1" applyBorder="1" applyAlignment="1" applyProtection="1">
      <alignment horizontal="center"/>
      <protection hidden="1"/>
    </xf>
    <xf numFmtId="49" fontId="8" fillId="0" borderId="1" xfId="0" applyNumberFormat="1" applyFont="1" applyBorder="1" applyAlignment="1" applyProtection="1">
      <alignment horizontal="center" vertical="center"/>
      <protection hidden="1"/>
    </xf>
    <xf numFmtId="0" fontId="8" fillId="0" borderId="5" xfId="0" applyFont="1" applyBorder="1" applyProtection="1">
      <protection locked="0" hidden="1"/>
    </xf>
    <xf numFmtId="0" fontId="0" fillId="0" borderId="26" xfId="0" applyBorder="1" applyProtection="1">
      <protection locked="0" hidden="1"/>
    </xf>
    <xf numFmtId="0" fontId="8" fillId="0" borderId="29" xfId="0" applyFont="1" applyBorder="1" applyProtection="1">
      <protection hidden="1"/>
    </xf>
    <xf numFmtId="0" fontId="8" fillId="0" borderId="15" xfId="0" applyFont="1" applyBorder="1" applyAlignment="1" applyProtection="1">
      <alignment horizontal="right"/>
      <protection hidden="1"/>
    </xf>
    <xf numFmtId="2" fontId="8" fillId="0" borderId="32" xfId="0" applyNumberFormat="1" applyFont="1" applyBorder="1" applyProtection="1">
      <protection hidden="1"/>
    </xf>
    <xf numFmtId="0" fontId="8" fillId="0" borderId="32" xfId="0" applyFont="1" applyBorder="1" applyProtection="1">
      <protection hidden="1"/>
    </xf>
    <xf numFmtId="0" fontId="8" fillId="0" borderId="33" xfId="0" applyFont="1" applyBorder="1" applyProtection="1"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/>
      <protection hidden="1"/>
    </xf>
    <xf numFmtId="2" fontId="8" fillId="0" borderId="29" xfId="0" applyNumberFormat="1" applyFont="1" applyBorder="1" applyProtection="1">
      <protection hidden="1"/>
    </xf>
    <xf numFmtId="0" fontId="8" fillId="0" borderId="1" xfId="0" applyFont="1" applyBorder="1" applyAlignment="1" applyProtection="1">
      <alignment horizontal="right"/>
      <protection hidden="1"/>
    </xf>
    <xf numFmtId="0" fontId="8" fillId="0" borderId="26" xfId="0" applyFont="1" applyBorder="1" applyAlignment="1" applyProtection="1">
      <alignment horizontal="center"/>
      <protection hidden="1"/>
    </xf>
    <xf numFmtId="0" fontId="0" fillId="0" borderId="0" xfId="0" applyAlignment="1">
      <alignment horizontal="left"/>
    </xf>
    <xf numFmtId="1" fontId="8" fillId="0" borderId="32" xfId="0" applyNumberFormat="1" applyFont="1" applyBorder="1" applyAlignment="1" applyProtection="1">
      <alignment horizontal="center"/>
      <protection hidden="1"/>
    </xf>
    <xf numFmtId="49" fontId="8" fillId="0" borderId="26" xfId="0" applyNumberFormat="1" applyFont="1" applyBorder="1" applyAlignment="1" applyProtection="1">
      <alignment horizontal="center" vertical="center"/>
      <protection hidden="1"/>
    </xf>
    <xf numFmtId="0" fontId="0" fillId="0" borderId="15" xfId="0" applyBorder="1"/>
    <xf numFmtId="0" fontId="0" fillId="0" borderId="26" xfId="0" applyBorder="1" applyProtection="1">
      <protection hidden="1"/>
    </xf>
    <xf numFmtId="2" fontId="8" fillId="0" borderId="0" xfId="0" applyNumberFormat="1" applyFont="1" applyProtection="1">
      <protection hidden="1"/>
    </xf>
    <xf numFmtId="2" fontId="8" fillId="0" borderId="15" xfId="0" applyNumberFormat="1" applyFont="1" applyBorder="1" applyProtection="1">
      <protection hidden="1"/>
    </xf>
    <xf numFmtId="49" fontId="0" fillId="0" borderId="3" xfId="0" applyNumberFormat="1" applyBorder="1" applyProtection="1">
      <protection hidden="1"/>
    </xf>
    <xf numFmtId="0" fontId="0" fillId="0" borderId="3" xfId="0" applyBorder="1" applyProtection="1">
      <protection hidden="1"/>
    </xf>
    <xf numFmtId="0" fontId="0" fillId="0" borderId="16" xfId="0" applyBorder="1" applyProtection="1">
      <protection hidden="1"/>
    </xf>
    <xf numFmtId="0" fontId="0" fillId="0" borderId="39" xfId="0" applyBorder="1" applyProtection="1">
      <protection hidden="1"/>
    </xf>
    <xf numFmtId="0" fontId="0" fillId="0" borderId="6" xfId="0" applyBorder="1" applyAlignment="1" applyProtection="1">
      <alignment horizontal="center"/>
      <protection hidden="1"/>
    </xf>
    <xf numFmtId="2" fontId="8" fillId="0" borderId="19" xfId="0" applyNumberFormat="1" applyFont="1" applyBorder="1" applyProtection="1">
      <protection hidden="1"/>
    </xf>
    <xf numFmtId="2" fontId="8" fillId="0" borderId="27" xfId="0" applyNumberFormat="1" applyFont="1" applyBorder="1" applyProtection="1">
      <protection hidden="1"/>
    </xf>
    <xf numFmtId="0" fontId="0" fillId="0" borderId="17" xfId="0" applyBorder="1" applyProtection="1">
      <protection hidden="1"/>
    </xf>
    <xf numFmtId="0" fontId="0" fillId="0" borderId="13" xfId="0" applyBorder="1"/>
    <xf numFmtId="0" fontId="0" fillId="0" borderId="40" xfId="0" applyBorder="1"/>
    <xf numFmtId="2" fontId="14" fillId="0" borderId="0" xfId="0" applyNumberFormat="1" applyFont="1" applyProtection="1">
      <protection hidden="1"/>
    </xf>
    <xf numFmtId="2" fontId="14" fillId="0" borderId="11" xfId="0" applyNumberFormat="1" applyFont="1" applyBorder="1"/>
    <xf numFmtId="2" fontId="14" fillId="0" borderId="40" xfId="0" applyNumberFormat="1" applyFont="1" applyBorder="1"/>
    <xf numFmtId="2" fontId="14" fillId="0" borderId="12" xfId="0" applyNumberFormat="1" applyFont="1" applyBorder="1" applyProtection="1">
      <protection hidden="1"/>
    </xf>
    <xf numFmtId="2" fontId="14" fillId="0" borderId="13" xfId="0" applyNumberFormat="1" applyFont="1" applyBorder="1" applyProtection="1">
      <protection hidden="1"/>
    </xf>
    <xf numFmtId="2" fontId="14" fillId="0" borderId="14" xfId="0" applyNumberFormat="1" applyFont="1" applyBorder="1"/>
    <xf numFmtId="2" fontId="0" fillId="0" borderId="0" xfId="0" applyNumberFormat="1" applyProtection="1">
      <protection hidden="1"/>
    </xf>
    <xf numFmtId="0" fontId="0" fillId="0" borderId="41" xfId="0" applyBorder="1"/>
    <xf numFmtId="0" fontId="0" fillId="0" borderId="0" xfId="0" applyAlignment="1">
      <alignment horizontal="center"/>
    </xf>
    <xf numFmtId="0" fontId="11" fillId="0" borderId="22" xfId="0" applyFont="1" applyBorder="1" applyProtection="1">
      <protection hidden="1"/>
    </xf>
    <xf numFmtId="0" fontId="11" fillId="0" borderId="1" xfId="0" applyFont="1" applyBorder="1" applyProtection="1">
      <protection hidden="1"/>
    </xf>
    <xf numFmtId="0" fontId="5" fillId="0" borderId="1" xfId="0" applyFont="1" applyBorder="1" applyProtection="1">
      <protection hidden="1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Protection="1">
      <protection hidden="1"/>
    </xf>
    <xf numFmtId="0" fontId="8" fillId="0" borderId="8" xfId="0" applyFont="1" applyBorder="1" applyProtection="1">
      <protection hidden="1"/>
    </xf>
    <xf numFmtId="49" fontId="10" fillId="0" borderId="0" xfId="0" applyNumberFormat="1" applyFont="1" applyProtection="1">
      <protection hidden="1"/>
    </xf>
    <xf numFmtId="0" fontId="16" fillId="0" borderId="0" xfId="0" applyFont="1" applyProtection="1">
      <protection hidden="1"/>
    </xf>
    <xf numFmtId="0" fontId="0" fillId="0" borderId="25" xfId="0" applyBorder="1"/>
    <xf numFmtId="0" fontId="0" fillId="0" borderId="17" xfId="0" applyBorder="1"/>
    <xf numFmtId="0" fontId="8" fillId="0" borderId="6" xfId="0" applyFont="1" applyBorder="1" applyProtection="1">
      <protection locked="0" hidden="1"/>
    </xf>
    <xf numFmtId="0" fontId="8" fillId="0" borderId="6" xfId="0" applyFont="1" applyBorder="1"/>
    <xf numFmtId="0" fontId="11" fillId="0" borderId="26" xfId="0" applyFont="1" applyBorder="1" applyProtection="1">
      <protection hidden="1"/>
    </xf>
    <xf numFmtId="0" fontId="12" fillId="0" borderId="0" xfId="0" applyFont="1" applyProtection="1">
      <protection hidden="1"/>
    </xf>
    <xf numFmtId="0" fontId="11" fillId="0" borderId="15" xfId="0" applyFont="1" applyBorder="1" applyAlignment="1" applyProtection="1">
      <alignment horizontal="right"/>
      <protection hidden="1"/>
    </xf>
    <xf numFmtId="0" fontId="8" fillId="0" borderId="16" xfId="0" applyFont="1" applyBorder="1"/>
    <xf numFmtId="0" fontId="8" fillId="0" borderId="17" xfId="0" applyFont="1" applyBorder="1"/>
    <xf numFmtId="2" fontId="10" fillId="0" borderId="0" xfId="0" applyNumberFormat="1" applyFont="1" applyAlignment="1" applyProtection="1">
      <alignment horizontal="right"/>
      <protection hidden="1"/>
    </xf>
    <xf numFmtId="0" fontId="8" fillId="0" borderId="6" xfId="0" applyFont="1" applyBorder="1" applyProtection="1">
      <protection locked="0"/>
    </xf>
    <xf numFmtId="0" fontId="0" fillId="0" borderId="0" xfId="0" applyAlignment="1" applyProtection="1">
      <alignment horizontal="center"/>
      <protection hidden="1"/>
    </xf>
    <xf numFmtId="0" fontId="0" fillId="0" borderId="6" xfId="0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/>
    <xf numFmtId="0" fontId="13" fillId="0" borderId="0" xfId="0" applyFont="1" applyAlignment="1" applyProtection="1">
      <alignment vertical="top" wrapText="1"/>
      <protection hidden="1"/>
    </xf>
    <xf numFmtId="0" fontId="7" fillId="0" borderId="0" xfId="0" applyFont="1" applyProtection="1">
      <protection hidden="1"/>
    </xf>
    <xf numFmtId="0" fontId="0" fillId="0" borderId="0" xfId="0" applyAlignment="1" applyProtection="1">
      <alignment vertical="center"/>
      <protection hidden="1"/>
    </xf>
    <xf numFmtId="0" fontId="6" fillId="0" borderId="0" xfId="0" applyFont="1" applyProtection="1">
      <protection hidden="1"/>
    </xf>
    <xf numFmtId="0" fontId="17" fillId="0" borderId="0" xfId="0" applyFont="1" applyProtection="1">
      <protection hidden="1"/>
    </xf>
    <xf numFmtId="0" fontId="6" fillId="0" borderId="0" xfId="0" applyFont="1" applyAlignment="1" applyProtection="1">
      <alignment horizontal="left"/>
      <protection hidden="1"/>
    </xf>
    <xf numFmtId="2" fontId="12" fillId="0" borderId="0" xfId="0" applyNumberFormat="1" applyFont="1" applyProtection="1">
      <protection hidden="1"/>
    </xf>
    <xf numFmtId="1" fontId="9" fillId="0" borderId="1" xfId="0" applyNumberFormat="1" applyFont="1" applyBorder="1" applyAlignment="1" applyProtection="1">
      <alignment horizontal="left"/>
      <protection hidden="1"/>
    </xf>
    <xf numFmtId="0" fontId="10" fillId="0" borderId="15" xfId="0" applyFont="1" applyBorder="1" applyProtection="1">
      <protection hidden="1"/>
    </xf>
    <xf numFmtId="0" fontId="10" fillId="0" borderId="0" xfId="0" applyFont="1" applyAlignment="1" applyProtection="1">
      <alignment horizontal="right"/>
      <protection hidden="1"/>
    </xf>
    <xf numFmtId="0" fontId="10" fillId="0" borderId="29" xfId="0" applyFont="1" applyBorder="1" applyAlignment="1" applyProtection="1">
      <alignment horizontal="right"/>
      <protection hidden="1"/>
    </xf>
    <xf numFmtId="0" fontId="9" fillId="0" borderId="29" xfId="0" applyFont="1" applyBorder="1" applyAlignment="1" applyProtection="1">
      <alignment horizontal="right"/>
      <protection hidden="1"/>
    </xf>
    <xf numFmtId="0" fontId="8" fillId="0" borderId="0" xfId="0" applyFont="1" applyAlignment="1">
      <alignment horizontal="right"/>
    </xf>
    <xf numFmtId="0" fontId="10" fillId="0" borderId="15" xfId="0" applyFont="1" applyBorder="1"/>
    <xf numFmtId="0" fontId="10" fillId="0" borderId="0" xfId="0" applyFont="1" applyProtection="1">
      <protection locked="0" hidden="1"/>
    </xf>
    <xf numFmtId="0" fontId="8" fillId="0" borderId="0" xfId="0" applyFont="1" applyProtection="1">
      <protection locked="0" hidden="1"/>
    </xf>
    <xf numFmtId="0" fontId="8" fillId="0" borderId="0" xfId="0" applyFont="1" applyAlignment="1" applyProtection="1">
      <alignment horizontal="right"/>
      <protection locked="0" hidden="1"/>
    </xf>
    <xf numFmtId="0" fontId="10" fillId="0" borderId="15" xfId="0" applyFont="1" applyBorder="1" applyProtection="1">
      <protection locked="0"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center"/>
      <protection hidden="1"/>
    </xf>
    <xf numFmtId="0" fontId="9" fillId="6" borderId="0" xfId="0" applyFont="1" applyFill="1" applyProtection="1">
      <protection hidden="1"/>
    </xf>
    <xf numFmtId="0" fontId="0" fillId="6" borderId="0" xfId="0" applyFill="1" applyProtection="1">
      <protection hidden="1"/>
    </xf>
    <xf numFmtId="0" fontId="10" fillId="6" borderId="0" xfId="0" applyFont="1" applyFill="1" applyProtection="1">
      <protection hidden="1"/>
    </xf>
    <xf numFmtId="0" fontId="10" fillId="6" borderId="15" xfId="0" applyFont="1" applyFill="1" applyBorder="1" applyProtection="1">
      <protection hidden="1"/>
    </xf>
    <xf numFmtId="0" fontId="5" fillId="6" borderId="0" xfId="0" applyFont="1" applyFill="1" applyProtection="1">
      <protection hidden="1"/>
    </xf>
    <xf numFmtId="0" fontId="5" fillId="6" borderId="15" xfId="0" applyFont="1" applyFill="1" applyBorder="1" applyProtection="1">
      <protection hidden="1"/>
    </xf>
    <xf numFmtId="9" fontId="5" fillId="6" borderId="6" xfId="0" applyNumberFormat="1" applyFont="1" applyFill="1" applyBorder="1" applyAlignment="1" applyProtection="1">
      <alignment horizontal="center"/>
      <protection hidden="1"/>
    </xf>
    <xf numFmtId="0" fontId="5" fillId="6" borderId="6" xfId="0" applyFont="1" applyFill="1" applyBorder="1" applyAlignment="1" applyProtection="1">
      <alignment horizontal="center"/>
      <protection hidden="1"/>
    </xf>
    <xf numFmtId="165" fontId="5" fillId="6" borderId="6" xfId="0" applyNumberFormat="1" applyFont="1" applyFill="1" applyBorder="1" applyAlignment="1" applyProtection="1">
      <alignment horizontal="center"/>
      <protection hidden="1"/>
    </xf>
    <xf numFmtId="0" fontId="12" fillId="6" borderId="15" xfId="0" applyFont="1" applyFill="1" applyBorder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10" fillId="0" borderId="15" xfId="0" applyFont="1" applyBorder="1" applyAlignment="1" applyProtection="1">
      <alignment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0" fillId="0" borderId="15" xfId="0" applyBorder="1" applyAlignment="1" applyProtection="1">
      <alignment vertical="center"/>
      <protection hidden="1"/>
    </xf>
    <xf numFmtId="0" fontId="9" fillId="0" borderId="15" xfId="0" applyFont="1" applyBorder="1" applyAlignment="1" applyProtection="1">
      <alignment horizontal="right"/>
      <protection hidden="1"/>
    </xf>
    <xf numFmtId="0" fontId="18" fillId="0" borderId="0" xfId="0" applyFont="1" applyAlignment="1" applyProtection="1">
      <alignment horizontal="left"/>
      <protection hidden="1"/>
    </xf>
    <xf numFmtId="2" fontId="10" fillId="0" borderId="0" xfId="0" applyNumberFormat="1" applyFont="1" applyProtection="1">
      <protection hidden="1"/>
    </xf>
    <xf numFmtId="2" fontId="10" fillId="0" borderId="0" xfId="0" applyNumberFormat="1" applyFont="1" applyProtection="1">
      <protection locked="0" hidden="1"/>
    </xf>
    <xf numFmtId="2" fontId="9" fillId="0" borderId="0" xfId="0" applyNumberFormat="1" applyFont="1" applyProtection="1">
      <protection hidden="1"/>
    </xf>
    <xf numFmtId="2" fontId="10" fillId="0" borderId="0" xfId="0" applyNumberFormat="1" applyFont="1" applyAlignment="1">
      <alignment horizontal="right"/>
    </xf>
    <xf numFmtId="2" fontId="10" fillId="0" borderId="0" xfId="0" applyNumberFormat="1" applyFont="1"/>
    <xf numFmtId="2" fontId="9" fillId="0" borderId="0" xfId="0" applyNumberFormat="1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2" fontId="12" fillId="0" borderId="1" xfId="0" applyNumberFormat="1" applyFont="1" applyBorder="1" applyAlignment="1" applyProtection="1">
      <alignment horizontal="center"/>
      <protection hidden="1"/>
    </xf>
    <xf numFmtId="1" fontId="12" fillId="0" borderId="1" xfId="0" applyNumberFormat="1" applyFont="1" applyBorder="1" applyAlignment="1" applyProtection="1">
      <alignment horizontal="center"/>
      <protection hidden="1"/>
    </xf>
    <xf numFmtId="0" fontId="7" fillId="0" borderId="1" xfId="0" applyFont="1" applyBorder="1" applyProtection="1">
      <protection hidden="1"/>
    </xf>
    <xf numFmtId="0" fontId="7" fillId="0" borderId="15" xfId="0" applyFont="1" applyBorder="1" applyProtection="1">
      <protection hidden="1"/>
    </xf>
    <xf numFmtId="0" fontId="5" fillId="0" borderId="26" xfId="0" applyFont="1" applyBorder="1" applyProtection="1">
      <protection hidden="1"/>
    </xf>
    <xf numFmtId="0" fontId="12" fillId="0" borderId="0" xfId="0" applyFont="1" applyAlignment="1" applyProtection="1">
      <alignment horizontal="center"/>
      <protection hidden="1"/>
    </xf>
    <xf numFmtId="0" fontId="7" fillId="0" borderId="29" xfId="0" applyFont="1" applyBorder="1" applyProtection="1">
      <protection hidden="1"/>
    </xf>
    <xf numFmtId="2" fontId="5" fillId="0" borderId="26" xfId="0" applyNumberFormat="1" applyFont="1" applyBorder="1" applyProtection="1">
      <protection hidden="1"/>
    </xf>
    <xf numFmtId="0" fontId="0" fillId="0" borderId="29" xfId="0" applyBorder="1" applyProtection="1">
      <protection hidden="1"/>
    </xf>
    <xf numFmtId="2" fontId="5" fillId="0" borderId="15" xfId="0" applyNumberFormat="1" applyFont="1" applyBorder="1" applyProtection="1">
      <protection hidden="1"/>
    </xf>
    <xf numFmtId="2" fontId="5" fillId="0" borderId="29" xfId="0" applyNumberFormat="1" applyFont="1" applyBorder="1" applyProtection="1">
      <protection hidden="1"/>
    </xf>
    <xf numFmtId="2" fontId="5" fillId="0" borderId="0" xfId="0" applyNumberFormat="1" applyFont="1" applyProtection="1">
      <protection hidden="1"/>
    </xf>
    <xf numFmtId="2" fontId="21" fillId="0" borderId="0" xfId="0" applyNumberFormat="1" applyFont="1" applyProtection="1">
      <protection hidden="1"/>
    </xf>
    <xf numFmtId="9" fontId="9" fillId="0" borderId="0" xfId="0" applyNumberFormat="1" applyFont="1" applyAlignment="1" applyProtection="1">
      <alignment horizontal="center"/>
      <protection hidden="1"/>
    </xf>
    <xf numFmtId="0" fontId="22" fillId="7" borderId="6" xfId="0" applyFont="1" applyFill="1" applyBorder="1" applyAlignment="1" applyProtection="1">
      <alignment horizontal="center" vertical="center"/>
      <protection hidden="1"/>
    </xf>
    <xf numFmtId="49" fontId="22" fillId="7" borderId="6" xfId="0" applyNumberFormat="1" applyFont="1" applyFill="1" applyBorder="1" applyAlignment="1" applyProtection="1">
      <alignment horizontal="center" vertical="center"/>
      <protection hidden="1"/>
    </xf>
    <xf numFmtId="16" fontId="22" fillId="7" borderId="6" xfId="0" applyNumberFormat="1" applyFont="1" applyFill="1" applyBorder="1" applyAlignment="1" applyProtection="1">
      <alignment horizontal="center" vertical="center"/>
      <protection hidden="1"/>
    </xf>
    <xf numFmtId="9" fontId="0" fillId="0" borderId="0" xfId="0" applyNumberFormat="1" applyProtection="1">
      <protection hidden="1"/>
    </xf>
    <xf numFmtId="165" fontId="23" fillId="0" borderId="6" xfId="1" applyNumberFormat="1" applyFont="1" applyBorder="1" applyAlignment="1" applyProtection="1">
      <alignment horizontal="center" vertical="center"/>
      <protection hidden="1"/>
    </xf>
    <xf numFmtId="9" fontId="23" fillId="0" borderId="6" xfId="0" applyNumberFormat="1" applyFont="1" applyBorder="1" applyAlignment="1" applyProtection="1">
      <alignment horizontal="center" vertical="center"/>
      <protection hidden="1"/>
    </xf>
    <xf numFmtId="0" fontId="24" fillId="0" borderId="0" xfId="0" applyFont="1"/>
    <xf numFmtId="0" fontId="24" fillId="0" borderId="15" xfId="0" applyFont="1" applyBorder="1"/>
    <xf numFmtId="0" fontId="9" fillId="0" borderId="1" xfId="0" applyFont="1" applyBorder="1" applyProtection="1">
      <protection hidden="1"/>
    </xf>
    <xf numFmtId="0" fontId="10" fillId="0" borderId="26" xfId="0" applyFont="1" applyBorder="1" applyProtection="1">
      <protection hidden="1"/>
    </xf>
    <xf numFmtId="0" fontId="9" fillId="0" borderId="22" xfId="0" applyFont="1" applyBorder="1" applyAlignment="1" applyProtection="1">
      <alignment horizontal="right"/>
      <protection hidden="1"/>
    </xf>
    <xf numFmtId="0" fontId="21" fillId="0" borderId="0" xfId="0" applyFont="1" applyProtection="1">
      <protection hidden="1"/>
    </xf>
    <xf numFmtId="2" fontId="9" fillId="0" borderId="1" xfId="0" applyNumberFormat="1" applyFont="1" applyBorder="1" applyProtection="1">
      <protection hidden="1"/>
    </xf>
    <xf numFmtId="1" fontId="8" fillId="0" borderId="0" xfId="0" applyNumberFormat="1" applyFont="1" applyProtection="1">
      <protection hidden="1"/>
    </xf>
    <xf numFmtId="2" fontId="11" fillId="0" borderId="0" xfId="0" applyNumberFormat="1" applyFont="1" applyProtection="1">
      <protection hidden="1"/>
    </xf>
    <xf numFmtId="0" fontId="0" fillId="0" borderId="0" xfId="0" applyAlignment="1">
      <alignment vertical="center"/>
    </xf>
    <xf numFmtId="2" fontId="8" fillId="0" borderId="0" xfId="0" applyNumberFormat="1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43" fontId="0" fillId="0" borderId="0" xfId="0" applyNumberFormat="1" applyProtection="1">
      <protection hidden="1"/>
    </xf>
    <xf numFmtId="165" fontId="25" fillId="8" borderId="6" xfId="1" applyNumberFormat="1" applyFont="1" applyFill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0" fillId="0" borderId="6" xfId="0" applyBorder="1" applyAlignment="1">
      <alignment horizontal="center"/>
    </xf>
    <xf numFmtId="0" fontId="12" fillId="0" borderId="0" xfId="0" applyFont="1" applyAlignment="1" applyProtection="1">
      <alignment horizontal="left"/>
      <protection hidden="1"/>
    </xf>
    <xf numFmtId="0" fontId="8" fillId="0" borderId="29" xfId="0" applyFont="1" applyBorder="1" applyAlignment="1" applyProtection="1">
      <alignment horizontal="right"/>
      <protection hidden="1"/>
    </xf>
    <xf numFmtId="0" fontId="11" fillId="0" borderId="29" xfId="0" applyFont="1" applyBorder="1" applyAlignment="1" applyProtection="1">
      <alignment horizontal="right"/>
      <protection hidden="1"/>
    </xf>
    <xf numFmtId="1" fontId="9" fillId="0" borderId="0" xfId="0" applyNumberFormat="1" applyFont="1" applyAlignment="1" applyProtection="1">
      <alignment horizontal="left"/>
      <protection hidden="1"/>
    </xf>
    <xf numFmtId="0" fontId="9" fillId="0" borderId="15" xfId="0" applyFont="1" applyBorder="1" applyProtection="1">
      <protection hidden="1"/>
    </xf>
    <xf numFmtId="0" fontId="5" fillId="0" borderId="15" xfId="0" applyFont="1" applyBorder="1" applyProtection="1">
      <protection hidden="1"/>
    </xf>
    <xf numFmtId="0" fontId="12" fillId="0" borderId="29" xfId="0" applyFont="1" applyBorder="1" applyAlignment="1" applyProtection="1">
      <alignment horizontal="right"/>
      <protection hidden="1"/>
    </xf>
    <xf numFmtId="2" fontId="10" fillId="9" borderId="0" xfId="0" applyNumberFormat="1" applyFont="1" applyFill="1" applyProtection="1">
      <protection locked="0" hidden="1"/>
    </xf>
    <xf numFmtId="2" fontId="10" fillId="9" borderId="0" xfId="0" applyNumberFormat="1" applyFont="1" applyFill="1" applyProtection="1">
      <protection hidden="1"/>
    </xf>
    <xf numFmtId="2" fontId="10" fillId="9" borderId="0" xfId="0" applyNumberFormat="1" applyFont="1" applyFill="1" applyProtection="1">
      <protection locked="0"/>
    </xf>
    <xf numFmtId="0" fontId="22" fillId="10" borderId="6" xfId="0" applyFont="1" applyFill="1" applyBorder="1" applyAlignment="1">
      <alignment vertical="center"/>
    </xf>
    <xf numFmtId="166" fontId="22" fillId="10" borderId="6" xfId="0" applyNumberFormat="1" applyFont="1" applyFill="1" applyBorder="1" applyAlignment="1">
      <alignment vertical="center"/>
    </xf>
    <xf numFmtId="1" fontId="22" fillId="10" borderId="6" xfId="0" applyNumberFormat="1" applyFont="1" applyFill="1" applyBorder="1" applyAlignment="1">
      <alignment vertical="center"/>
    </xf>
    <xf numFmtId="9" fontId="22" fillId="10" borderId="6" xfId="0" applyNumberFormat="1" applyFont="1" applyFill="1" applyBorder="1" applyAlignment="1">
      <alignment vertical="center"/>
    </xf>
    <xf numFmtId="3" fontId="22" fillId="10" borderId="6" xfId="0" applyNumberFormat="1" applyFont="1" applyFill="1" applyBorder="1" applyAlignment="1">
      <alignment vertical="center"/>
    </xf>
    <xf numFmtId="0" fontId="0" fillId="0" borderId="6" xfId="0" applyBorder="1" applyAlignment="1">
      <alignment vertical="center"/>
    </xf>
    <xf numFmtId="0" fontId="12" fillId="0" borderId="6" xfId="0" applyFont="1" applyBorder="1" applyAlignment="1">
      <alignment vertical="center"/>
    </xf>
    <xf numFmtId="0" fontId="0" fillId="0" borderId="29" xfId="0" applyBorder="1" applyAlignment="1" applyProtection="1">
      <alignment vertical="center"/>
      <protection hidden="1"/>
    </xf>
    <xf numFmtId="0" fontId="26" fillId="0" borderId="0" xfId="0" applyFont="1" applyProtection="1">
      <protection hidden="1"/>
    </xf>
    <xf numFmtId="0" fontId="0" fillId="2" borderId="0" xfId="0" applyFill="1"/>
    <xf numFmtId="0" fontId="0" fillId="11" borderId="0" xfId="0" applyFill="1"/>
    <xf numFmtId="0" fontId="0" fillId="12" borderId="0" xfId="0" applyFill="1"/>
    <xf numFmtId="0" fontId="0" fillId="9" borderId="0" xfId="0" applyFill="1" applyAlignment="1">
      <alignment horizontal="center" vertical="center"/>
    </xf>
    <xf numFmtId="0" fontId="2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center"/>
      <protection hidden="1"/>
    </xf>
    <xf numFmtId="1" fontId="12" fillId="0" borderId="0" xfId="0" applyNumberFormat="1" applyFont="1" applyAlignment="1" applyProtection="1">
      <alignment horizontal="left"/>
      <protection hidden="1"/>
    </xf>
    <xf numFmtId="0" fontId="12" fillId="0" borderId="13" xfId="0" applyFont="1" applyBorder="1" applyProtection="1">
      <protection hidden="1"/>
    </xf>
    <xf numFmtId="0" fontId="9" fillId="6" borderId="44" xfId="0" applyFont="1" applyFill="1" applyBorder="1" applyAlignment="1" applyProtection="1">
      <alignment horizontal="center" vertical="center"/>
      <protection hidden="1"/>
    </xf>
    <xf numFmtId="0" fontId="9" fillId="6" borderId="7" xfId="0" applyFont="1" applyFill="1" applyBorder="1" applyAlignment="1" applyProtection="1">
      <alignment horizontal="center" vertical="center"/>
      <protection hidden="1"/>
    </xf>
    <xf numFmtId="0" fontId="9" fillId="6" borderId="29" xfId="0" applyFont="1" applyFill="1" applyBorder="1" applyAlignment="1" applyProtection="1">
      <alignment horizontal="center" vertical="center"/>
      <protection hidden="1"/>
    </xf>
    <xf numFmtId="0" fontId="9" fillId="6" borderId="0" xfId="0" applyFont="1" applyFill="1" applyAlignment="1" applyProtection="1">
      <alignment horizontal="center" vertical="center"/>
      <protection hidden="1"/>
    </xf>
    <xf numFmtId="0" fontId="9" fillId="6" borderId="15" xfId="0" applyFont="1" applyFill="1" applyBorder="1" applyAlignment="1" applyProtection="1">
      <alignment horizontal="center" vertical="center"/>
      <protection hidden="1"/>
    </xf>
    <xf numFmtId="0" fontId="9" fillId="6" borderId="8" xfId="0" applyFont="1" applyFill="1" applyBorder="1" applyAlignment="1" applyProtection="1">
      <alignment horizontal="center" vertical="center"/>
      <protection hidden="1"/>
    </xf>
    <xf numFmtId="0" fontId="9" fillId="6" borderId="22" xfId="0" applyFont="1" applyFill="1" applyBorder="1" applyAlignment="1" applyProtection="1">
      <alignment horizontal="center" vertical="center"/>
      <protection hidden="1"/>
    </xf>
    <xf numFmtId="0" fontId="9" fillId="6" borderId="1" xfId="0" applyFont="1" applyFill="1" applyBorder="1" applyAlignment="1" applyProtection="1">
      <alignment horizontal="center" vertical="center"/>
      <protection hidden="1"/>
    </xf>
    <xf numFmtId="0" fontId="9" fillId="6" borderId="26" xfId="0" applyFont="1" applyFill="1" applyBorder="1" applyAlignment="1" applyProtection="1">
      <alignment horizontal="center" vertical="center"/>
      <protection hidden="1"/>
    </xf>
    <xf numFmtId="0" fontId="10" fillId="0" borderId="6" xfId="0" applyFont="1" applyBorder="1" applyAlignment="1">
      <alignment horizontal="center"/>
    </xf>
    <xf numFmtId="0" fontId="8" fillId="0" borderId="4" xfId="0" applyFont="1" applyBorder="1" applyAlignment="1" applyProtection="1">
      <alignment horizontal="left"/>
      <protection hidden="1"/>
    </xf>
    <xf numFmtId="2" fontId="10" fillId="13" borderId="6" xfId="0" applyNumberFormat="1" applyFont="1" applyFill="1" applyBorder="1" applyAlignment="1" applyProtection="1">
      <alignment horizontal="right"/>
      <protection hidden="1"/>
    </xf>
    <xf numFmtId="2" fontId="10" fillId="0" borderId="6" xfId="0" applyNumberFormat="1" applyFont="1" applyBorder="1" applyAlignment="1" applyProtection="1">
      <alignment horizontal="right"/>
      <protection hidden="1"/>
    </xf>
    <xf numFmtId="0" fontId="8" fillId="0" borderId="5" xfId="0" applyFont="1" applyBorder="1" applyAlignment="1" applyProtection="1">
      <alignment horizontal="left"/>
      <protection hidden="1"/>
    </xf>
    <xf numFmtId="0" fontId="10" fillId="2" borderId="6" xfId="0" applyFont="1" applyFill="1" applyBorder="1" applyAlignment="1">
      <alignment horizontal="center"/>
    </xf>
    <xf numFmtId="2" fontId="10" fillId="2" borderId="6" xfId="0" applyNumberFormat="1" applyFont="1" applyFill="1" applyBorder="1" applyAlignment="1" applyProtection="1">
      <alignment horizontal="right"/>
      <protection hidden="1"/>
    </xf>
    <xf numFmtId="2" fontId="10" fillId="2" borderId="8" xfId="0" applyNumberFormat="1" applyFont="1" applyFill="1" applyBorder="1" applyAlignment="1" applyProtection="1">
      <alignment horizontal="right"/>
      <protection hidden="1"/>
    </xf>
    <xf numFmtId="2" fontId="10" fillId="0" borderId="6" xfId="0" applyNumberFormat="1" applyFont="1" applyBorder="1" applyAlignment="1" applyProtection="1">
      <alignment horizontal="right"/>
      <protection locked="0" hidden="1"/>
    </xf>
    <xf numFmtId="2" fontId="10" fillId="13" borderId="8" xfId="0" applyNumberFormat="1" applyFont="1" applyFill="1" applyBorder="1" applyAlignment="1" applyProtection="1">
      <alignment horizontal="right"/>
      <protection hidden="1"/>
    </xf>
    <xf numFmtId="0" fontId="10" fillId="11" borderId="6" xfId="0" applyFont="1" applyFill="1" applyBorder="1" applyAlignment="1">
      <alignment horizontal="center"/>
    </xf>
    <xf numFmtId="2" fontId="10" fillId="11" borderId="8" xfId="0" applyNumberFormat="1" applyFont="1" applyFill="1" applyBorder="1" applyAlignment="1" applyProtection="1">
      <alignment horizontal="right"/>
      <protection locked="0" hidden="1"/>
    </xf>
    <xf numFmtId="2" fontId="10" fillId="11" borderId="6" xfId="0" applyNumberFormat="1" applyFont="1" applyFill="1" applyBorder="1" applyAlignment="1" applyProtection="1">
      <alignment horizontal="right"/>
      <protection locked="0" hidden="1"/>
    </xf>
    <xf numFmtId="0" fontId="10" fillId="12" borderId="6" xfId="0" applyFont="1" applyFill="1" applyBorder="1" applyAlignment="1">
      <alignment horizontal="center"/>
    </xf>
    <xf numFmtId="2" fontId="10" fillId="12" borderId="8" xfId="0" applyNumberFormat="1" applyFont="1" applyFill="1" applyBorder="1" applyAlignment="1" applyProtection="1">
      <alignment horizontal="right"/>
      <protection locked="0" hidden="1"/>
    </xf>
    <xf numFmtId="2" fontId="10" fillId="12" borderId="6" xfId="0" applyNumberFormat="1" applyFont="1" applyFill="1" applyBorder="1" applyAlignment="1" applyProtection="1">
      <alignment horizontal="right"/>
      <protection locked="0" hidden="1"/>
    </xf>
    <xf numFmtId="2" fontId="10" fillId="13" borderId="6" xfId="0" applyNumberFormat="1" applyFont="1" applyFill="1" applyBorder="1" applyAlignment="1" applyProtection="1">
      <alignment horizontal="right"/>
      <protection locked="0" hidden="1"/>
    </xf>
    <xf numFmtId="2" fontId="9" fillId="9" borderId="52" xfId="0" applyNumberFormat="1" applyFont="1" applyFill="1" applyBorder="1" applyAlignment="1" applyProtection="1">
      <alignment horizontal="right" vertical="center"/>
      <protection hidden="1"/>
    </xf>
    <xf numFmtId="0" fontId="28" fillId="0" borderId="0" xfId="0" applyFont="1" applyAlignment="1" applyProtection="1">
      <alignment horizontal="left"/>
      <protection hidden="1"/>
    </xf>
    <xf numFmtId="0" fontId="28" fillId="0" borderId="0" xfId="0" applyFont="1" applyProtection="1">
      <protection hidden="1"/>
    </xf>
    <xf numFmtId="2" fontId="0" fillId="0" borderId="0" xfId="0" applyNumberFormat="1"/>
    <xf numFmtId="2" fontId="8" fillId="0" borderId="8" xfId="0" applyNumberFormat="1" applyFont="1" applyBorder="1" applyAlignment="1" applyProtection="1">
      <alignment horizontal="right"/>
      <protection hidden="1"/>
    </xf>
    <xf numFmtId="1" fontId="11" fillId="0" borderId="2" xfId="0" applyNumberFormat="1" applyFont="1" applyBorder="1" applyAlignment="1" applyProtection="1">
      <alignment horizontal="center"/>
      <protection hidden="1"/>
    </xf>
    <xf numFmtId="1" fontId="11" fillId="0" borderId="15" xfId="0" applyNumberFormat="1" applyFont="1" applyBorder="1" applyAlignment="1" applyProtection="1">
      <alignment horizontal="center"/>
      <protection hidden="1"/>
    </xf>
    <xf numFmtId="2" fontId="11" fillId="0" borderId="8" xfId="0" applyNumberFormat="1" applyFont="1" applyBorder="1" applyAlignment="1" applyProtection="1">
      <alignment horizontal="center"/>
      <protection hidden="1"/>
    </xf>
    <xf numFmtId="0" fontId="8" fillId="0" borderId="2" xfId="0" applyFont="1" applyBorder="1" applyProtection="1">
      <protection hidden="1"/>
    </xf>
    <xf numFmtId="0" fontId="11" fillId="0" borderId="6" xfId="0" applyFont="1" applyBorder="1" applyAlignment="1" applyProtection="1">
      <alignment horizontal="center"/>
      <protection hidden="1"/>
    </xf>
    <xf numFmtId="2" fontId="11" fillId="0" borderId="2" xfId="0" applyNumberFormat="1" applyFont="1" applyBorder="1" applyAlignment="1" applyProtection="1">
      <alignment horizontal="center"/>
      <protection hidden="1"/>
    </xf>
    <xf numFmtId="2" fontId="11" fillId="0" borderId="16" xfId="0" applyNumberFormat="1" applyFont="1" applyBorder="1" applyAlignment="1" applyProtection="1">
      <alignment horizontal="center"/>
      <protection hidden="1"/>
    </xf>
    <xf numFmtId="2" fontId="11" fillId="0" borderId="25" xfId="0" applyNumberFormat="1" applyFont="1" applyBorder="1" applyProtection="1">
      <protection hidden="1"/>
    </xf>
    <xf numFmtId="2" fontId="11" fillId="0" borderId="15" xfId="0" applyNumberFormat="1" applyFont="1" applyBorder="1" applyProtection="1">
      <protection hidden="1"/>
    </xf>
    <xf numFmtId="0" fontId="8" fillId="0" borderId="7" xfId="0" applyFont="1" applyBorder="1" applyProtection="1">
      <protection hidden="1"/>
    </xf>
    <xf numFmtId="1" fontId="12" fillId="0" borderId="0" xfId="0" applyNumberFormat="1" applyFont="1" applyProtection="1">
      <protection hidden="1"/>
    </xf>
    <xf numFmtId="0" fontId="12" fillId="0" borderId="13" xfId="0" applyFont="1" applyBorder="1" applyAlignment="1" applyProtection="1">
      <alignment horizontal="left"/>
      <protection hidden="1"/>
    </xf>
    <xf numFmtId="0" fontId="5" fillId="0" borderId="13" xfId="0" applyFont="1" applyBorder="1" applyProtection="1">
      <protection hidden="1"/>
    </xf>
    <xf numFmtId="0" fontId="9" fillId="6" borderId="6" xfId="0" applyFont="1" applyFill="1" applyBorder="1" applyAlignment="1" applyProtection="1">
      <alignment horizontal="center" vertical="center"/>
      <protection hidden="1"/>
    </xf>
    <xf numFmtId="0" fontId="9" fillId="6" borderId="5" xfId="0" applyFont="1" applyFill="1" applyBorder="1" applyAlignment="1" applyProtection="1">
      <alignment horizontal="center" vertical="center"/>
      <protection hidden="1"/>
    </xf>
    <xf numFmtId="0" fontId="9" fillId="6" borderId="6" xfId="0" applyFont="1" applyFill="1" applyBorder="1" applyAlignment="1" applyProtection="1">
      <alignment vertical="center"/>
      <protection hidden="1"/>
    </xf>
    <xf numFmtId="0" fontId="29" fillId="6" borderId="26" xfId="0" applyFont="1" applyFill="1" applyBorder="1" applyAlignment="1" applyProtection="1">
      <alignment vertical="center"/>
      <protection hidden="1"/>
    </xf>
    <xf numFmtId="2" fontId="10" fillId="2" borderId="6" xfId="0" applyNumberFormat="1" applyFont="1" applyFill="1" applyBorder="1" applyAlignment="1" applyProtection="1">
      <alignment horizontal="right"/>
      <protection locked="0" hidden="1"/>
    </xf>
    <xf numFmtId="2" fontId="10" fillId="2" borderId="5" xfId="0" applyNumberFormat="1" applyFont="1" applyFill="1" applyBorder="1" applyAlignment="1" applyProtection="1">
      <alignment horizontal="right"/>
      <protection hidden="1"/>
    </xf>
    <xf numFmtId="2" fontId="10" fillId="0" borderId="5" xfId="0" applyNumberFormat="1" applyFont="1" applyBorder="1" applyAlignment="1" applyProtection="1">
      <alignment horizontal="right"/>
      <protection hidden="1"/>
    </xf>
    <xf numFmtId="2" fontId="8" fillId="0" borderId="6" xfId="0" applyNumberFormat="1" applyFont="1" applyBorder="1"/>
    <xf numFmtId="2" fontId="8" fillId="0" borderId="1" xfId="0" applyNumberFormat="1" applyFont="1" applyBorder="1"/>
    <xf numFmtId="0" fontId="18" fillId="0" borderId="0" xfId="0" applyFont="1" applyProtection="1">
      <protection hidden="1"/>
    </xf>
    <xf numFmtId="0" fontId="30" fillId="0" borderId="13" xfId="0" applyFont="1" applyBorder="1" applyProtection="1">
      <protection hidden="1"/>
    </xf>
    <xf numFmtId="0" fontId="9" fillId="6" borderId="40" xfId="0" applyFont="1" applyFill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 vertical="center"/>
      <protection hidden="1"/>
    </xf>
    <xf numFmtId="0" fontId="9" fillId="6" borderId="7" xfId="0" applyFont="1" applyFill="1" applyBorder="1" applyAlignment="1" applyProtection="1">
      <alignment horizontal="left" vertical="center"/>
      <protection hidden="1"/>
    </xf>
    <xf numFmtId="0" fontId="9" fillId="6" borderId="26" xfId="0" applyFont="1" applyFill="1" applyBorder="1" applyAlignment="1" applyProtection="1">
      <alignment vertical="center"/>
      <protection hidden="1"/>
    </xf>
    <xf numFmtId="0" fontId="9" fillId="6" borderId="8" xfId="0" applyFont="1" applyFill="1" applyBorder="1" applyAlignment="1" applyProtection="1">
      <alignment vertical="center"/>
      <protection hidden="1"/>
    </xf>
    <xf numFmtId="0" fontId="9" fillId="6" borderId="55" xfId="0" applyFont="1" applyFill="1" applyBorder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2" fontId="10" fillId="0" borderId="56" xfId="0" applyNumberFormat="1" applyFont="1" applyBorder="1" applyAlignment="1" applyProtection="1">
      <alignment horizontal="right"/>
      <protection hidden="1"/>
    </xf>
    <xf numFmtId="2" fontId="10" fillId="2" borderId="56" xfId="0" applyNumberFormat="1" applyFont="1" applyFill="1" applyBorder="1" applyAlignment="1" applyProtection="1">
      <alignment horizontal="right"/>
      <protection hidden="1"/>
    </xf>
    <xf numFmtId="2" fontId="10" fillId="2" borderId="0" xfId="0" applyNumberFormat="1" applyFont="1" applyFill="1" applyAlignment="1" applyProtection="1">
      <alignment horizontal="right"/>
      <protection hidden="1"/>
    </xf>
    <xf numFmtId="2" fontId="10" fillId="11" borderId="56" xfId="0" applyNumberFormat="1" applyFont="1" applyFill="1" applyBorder="1" applyAlignment="1" applyProtection="1">
      <alignment horizontal="right"/>
      <protection locked="0" hidden="1"/>
    </xf>
    <xf numFmtId="2" fontId="10" fillId="11" borderId="0" xfId="0" applyNumberFormat="1" applyFont="1" applyFill="1" applyAlignment="1" applyProtection="1">
      <alignment horizontal="right"/>
      <protection locked="0" hidden="1"/>
    </xf>
    <xf numFmtId="2" fontId="10" fillId="0" borderId="57" xfId="0" applyNumberFormat="1" applyFont="1" applyBorder="1" applyAlignment="1" applyProtection="1">
      <alignment horizontal="right"/>
      <protection locked="0" hidden="1"/>
    </xf>
    <xf numFmtId="2" fontId="10" fillId="0" borderId="0" xfId="0" applyNumberFormat="1" applyFont="1" applyAlignment="1" applyProtection="1">
      <alignment horizontal="right"/>
      <protection locked="0" hidden="1"/>
    </xf>
    <xf numFmtId="2" fontId="9" fillId="9" borderId="0" xfId="0" applyNumberFormat="1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/>
      <protection hidden="1"/>
    </xf>
    <xf numFmtId="0" fontId="33" fillId="0" borderId="0" xfId="0" applyFont="1" applyProtection="1">
      <protection hidden="1"/>
    </xf>
    <xf numFmtId="3" fontId="34" fillId="14" borderId="58" xfId="0" applyNumberFormat="1" applyFont="1" applyFill="1" applyBorder="1" applyAlignment="1">
      <alignment horizontal="right" vertical="top" wrapText="1"/>
    </xf>
    <xf numFmtId="9" fontId="8" fillId="0" borderId="15" xfId="0" applyNumberFormat="1" applyFont="1" applyBorder="1" applyAlignment="1">
      <alignment horizontal="center"/>
    </xf>
    <xf numFmtId="9" fontId="8" fillId="0" borderId="0" xfId="0" applyNumberFormat="1" applyFont="1" applyAlignment="1">
      <alignment horizontal="center"/>
    </xf>
    <xf numFmtId="2" fontId="8" fillId="0" borderId="6" xfId="0" applyNumberFormat="1" applyFont="1" applyBorder="1" applyProtection="1">
      <protection hidden="1"/>
    </xf>
    <xf numFmtId="2" fontId="11" fillId="0" borderId="6" xfId="0" applyNumberFormat="1" applyFont="1" applyBorder="1" applyProtection="1">
      <protection hidden="1"/>
    </xf>
    <xf numFmtId="0" fontId="27" fillId="0" borderId="0" xfId="0" applyFont="1" applyProtection="1">
      <protection hidden="1"/>
    </xf>
    <xf numFmtId="0" fontId="35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2" fontId="10" fillId="0" borderId="6" xfId="0" applyNumberFormat="1" applyFont="1" applyBorder="1" applyAlignment="1" applyProtection="1">
      <alignment horizontal="right" vertical="center"/>
      <protection hidden="1"/>
    </xf>
    <xf numFmtId="0" fontId="11" fillId="0" borderId="0" xfId="0" applyFont="1" applyAlignment="1" applyProtection="1">
      <alignment vertical="center"/>
      <protection hidden="1"/>
    </xf>
    <xf numFmtId="2" fontId="8" fillId="0" borderId="6" xfId="0" applyNumberFormat="1" applyFont="1" applyBorder="1" applyAlignment="1" applyProtection="1">
      <alignment vertical="center"/>
      <protection hidden="1"/>
    </xf>
    <xf numFmtId="0" fontId="8" fillId="0" borderId="5" xfId="0" applyFont="1" applyBorder="1" applyAlignment="1" applyProtection="1">
      <alignment vertical="center"/>
      <protection hidden="1"/>
    </xf>
    <xf numFmtId="2" fontId="8" fillId="0" borderId="0" xfId="0" applyNumberFormat="1" applyFont="1"/>
    <xf numFmtId="1" fontId="5" fillId="0" borderId="15" xfId="0" applyNumberFormat="1" applyFont="1" applyBorder="1"/>
    <xf numFmtId="2" fontId="8" fillId="0" borderId="7" xfId="0" applyNumberFormat="1" applyFont="1" applyBorder="1"/>
    <xf numFmtId="0" fontId="8" fillId="0" borderId="15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1" fontId="8" fillId="0" borderId="15" xfId="0" applyNumberFormat="1" applyFont="1" applyBorder="1" applyAlignment="1">
      <alignment horizontal="center"/>
    </xf>
    <xf numFmtId="2" fontId="8" fillId="0" borderId="8" xfId="0" applyNumberFormat="1" applyFont="1" applyBorder="1"/>
    <xf numFmtId="0" fontId="8" fillId="0" borderId="26" xfId="0" applyFont="1" applyBorder="1" applyAlignment="1">
      <alignment horizontal="center"/>
    </xf>
    <xf numFmtId="0" fontId="8" fillId="2" borderId="0" xfId="0" applyFont="1" applyFill="1"/>
    <xf numFmtId="2" fontId="5" fillId="0" borderId="0" xfId="0" applyNumberFormat="1" applyFont="1" applyAlignment="1" applyProtection="1">
      <alignment horizontal="right"/>
      <protection hidden="1"/>
    </xf>
    <xf numFmtId="1" fontId="8" fillId="0" borderId="0" xfId="0" applyNumberFormat="1" applyFont="1"/>
    <xf numFmtId="0" fontId="8" fillId="11" borderId="0" xfId="0" applyFont="1" applyFill="1"/>
    <xf numFmtId="0" fontId="8" fillId="12" borderId="0" xfId="0" applyFont="1" applyFill="1"/>
    <xf numFmtId="0" fontId="5" fillId="11" borderId="0" xfId="0" applyFont="1" applyFill="1" applyProtection="1">
      <protection hidden="1"/>
    </xf>
    <xf numFmtId="0" fontId="8" fillId="9" borderId="0" xfId="0" applyFont="1" applyFill="1" applyAlignment="1">
      <alignment horizontal="center" vertical="center"/>
    </xf>
    <xf numFmtId="0" fontId="8" fillId="9" borderId="0" xfId="0" applyFont="1" applyFill="1" applyAlignment="1" applyProtection="1">
      <alignment horizontal="center" vertical="center"/>
      <protection hidden="1"/>
    </xf>
    <xf numFmtId="2" fontId="8" fillId="0" borderId="6" xfId="0" applyNumberFormat="1" applyFont="1" applyBorder="1" applyAlignment="1" applyProtection="1">
      <alignment horizontal="right"/>
      <protection hidden="1"/>
    </xf>
    <xf numFmtId="9" fontId="8" fillId="0" borderId="15" xfId="0" applyNumberFormat="1" applyFont="1" applyBorder="1" applyAlignment="1">
      <alignment horizontal="center" vertical="center"/>
    </xf>
    <xf numFmtId="0" fontId="5" fillId="0" borderId="0" xfId="0" applyFont="1" applyAlignment="1" applyProtection="1">
      <alignment vertical="center"/>
      <protection hidden="1"/>
    </xf>
    <xf numFmtId="2" fontId="5" fillId="0" borderId="0" xfId="0" applyNumberFormat="1" applyFont="1"/>
    <xf numFmtId="2" fontId="8" fillId="2" borderId="0" xfId="0" applyNumberFormat="1" applyFont="1" applyFill="1"/>
    <xf numFmtId="2" fontId="0" fillId="2" borderId="0" xfId="0" applyNumberFormat="1" applyFill="1"/>
    <xf numFmtId="0" fontId="8" fillId="11" borderId="6" xfId="0" applyFont="1" applyFill="1" applyBorder="1" applyProtection="1">
      <protection hidden="1"/>
    </xf>
    <xf numFmtId="1" fontId="0" fillId="0" borderId="0" xfId="0" applyNumberFormat="1" applyProtection="1">
      <protection hidden="1"/>
    </xf>
    <xf numFmtId="1" fontId="0" fillId="0" borderId="0" xfId="0" applyNumberFormat="1"/>
    <xf numFmtId="1" fontId="0" fillId="2" borderId="0" xfId="0" applyNumberFormat="1" applyFill="1"/>
    <xf numFmtId="0" fontId="38" fillId="0" borderId="0" xfId="0" applyFont="1"/>
    <xf numFmtId="0" fontId="39" fillId="2" borderId="0" xfId="0" applyFont="1" applyFill="1" applyAlignment="1">
      <alignment horizontal="center" vertical="center"/>
    </xf>
    <xf numFmtId="0" fontId="40" fillId="15" borderId="40" xfId="0" applyFont="1" applyFill="1" applyBorder="1"/>
    <xf numFmtId="0" fontId="41" fillId="17" borderId="60" xfId="0" applyFont="1" applyFill="1" applyBorder="1" applyAlignment="1">
      <alignment horizontal="left"/>
    </xf>
    <xf numFmtId="0" fontId="41" fillId="17" borderId="61" xfId="0" applyFont="1" applyFill="1" applyBorder="1" applyAlignment="1">
      <alignment horizontal="left"/>
    </xf>
    <xf numFmtId="0" fontId="40" fillId="15" borderId="63" xfId="0" applyFont="1" applyFill="1" applyBorder="1"/>
    <xf numFmtId="0" fontId="40" fillId="16" borderId="5" xfId="0" applyFont="1" applyFill="1" applyBorder="1" applyAlignment="1">
      <alignment horizontal="center"/>
    </xf>
    <xf numFmtId="0" fontId="40" fillId="16" borderId="6" xfId="0" applyFont="1" applyFill="1" applyBorder="1" applyAlignment="1">
      <alignment horizontal="center"/>
    </xf>
    <xf numFmtId="0" fontId="40" fillId="16" borderId="8" xfId="0" applyFont="1" applyFill="1" applyBorder="1" applyAlignment="1">
      <alignment horizontal="center"/>
    </xf>
    <xf numFmtId="0" fontId="40" fillId="16" borderId="55" xfId="0" applyFont="1" applyFill="1" applyBorder="1" applyAlignment="1">
      <alignment horizontal="center"/>
    </xf>
    <xf numFmtId="0" fontId="40" fillId="17" borderId="5" xfId="0" applyFont="1" applyFill="1" applyBorder="1" applyAlignment="1">
      <alignment horizontal="center"/>
    </xf>
    <xf numFmtId="0" fontId="40" fillId="17" borderId="6" xfId="0" applyFont="1" applyFill="1" applyBorder="1" applyAlignment="1">
      <alignment horizontal="center"/>
    </xf>
    <xf numFmtId="0" fontId="40" fillId="15" borderId="64" xfId="0" applyFont="1" applyFill="1" applyBorder="1"/>
    <xf numFmtId="0" fontId="42" fillId="16" borderId="65" xfId="0" applyFont="1" applyFill="1" applyBorder="1" applyAlignment="1">
      <alignment horizontal="center"/>
    </xf>
    <xf numFmtId="0" fontId="42" fillId="16" borderId="66" xfId="0" applyFont="1" applyFill="1" applyBorder="1" applyAlignment="1">
      <alignment horizontal="center"/>
    </xf>
    <xf numFmtId="0" fontId="42" fillId="16" borderId="67" xfId="0" applyFont="1" applyFill="1" applyBorder="1" applyAlignment="1">
      <alignment horizontal="center"/>
    </xf>
    <xf numFmtId="0" fontId="42" fillId="17" borderId="48" xfId="0" applyFont="1" applyFill="1" applyBorder="1" applyAlignment="1">
      <alignment horizontal="center"/>
    </xf>
    <xf numFmtId="0" fontId="42" fillId="17" borderId="66" xfId="0" applyFont="1" applyFill="1" applyBorder="1" applyAlignment="1">
      <alignment horizontal="center"/>
    </xf>
    <xf numFmtId="0" fontId="42" fillId="15" borderId="68" xfId="0" applyFont="1" applyFill="1" applyBorder="1" applyAlignment="1">
      <alignment horizontal="center"/>
    </xf>
    <xf numFmtId="0" fontId="42" fillId="16" borderId="26" xfId="0" applyFont="1" applyFill="1" applyBorder="1"/>
    <xf numFmtId="0" fontId="42" fillId="16" borderId="8" xfId="0" applyFont="1" applyFill="1" applyBorder="1"/>
    <xf numFmtId="0" fontId="42" fillId="16" borderId="55" xfId="0" applyFont="1" applyFill="1" applyBorder="1"/>
    <xf numFmtId="0" fontId="42" fillId="17" borderId="26" xfId="0" applyFont="1" applyFill="1" applyBorder="1"/>
    <xf numFmtId="0" fontId="42" fillId="17" borderId="8" xfId="0" applyFont="1" applyFill="1" applyBorder="1"/>
    <xf numFmtId="0" fontId="42" fillId="15" borderId="63" xfId="0" applyFont="1" applyFill="1" applyBorder="1" applyAlignment="1">
      <alignment horizontal="center"/>
    </xf>
    <xf numFmtId="0" fontId="42" fillId="16" borderId="5" xfId="0" applyFont="1" applyFill="1" applyBorder="1"/>
    <xf numFmtId="0" fontId="42" fillId="16" borderId="6" xfId="0" applyFont="1" applyFill="1" applyBorder="1"/>
    <xf numFmtId="0" fontId="42" fillId="16" borderId="56" xfId="0" applyFont="1" applyFill="1" applyBorder="1"/>
    <xf numFmtId="0" fontId="42" fillId="17" borderId="5" xfId="0" applyFont="1" applyFill="1" applyBorder="1"/>
    <xf numFmtId="0" fontId="42" fillId="17" borderId="6" xfId="0" applyFont="1" applyFill="1" applyBorder="1"/>
    <xf numFmtId="0" fontId="42" fillId="16" borderId="69" xfId="0" applyFont="1" applyFill="1" applyBorder="1"/>
    <xf numFmtId="0" fontId="42" fillId="15" borderId="56" xfId="0" applyFont="1" applyFill="1" applyBorder="1" applyAlignment="1">
      <alignment horizontal="center"/>
    </xf>
    <xf numFmtId="0" fontId="42" fillId="15" borderId="64" xfId="0" applyFont="1" applyFill="1" applyBorder="1" applyAlignment="1">
      <alignment horizontal="center"/>
    </xf>
    <xf numFmtId="0" fontId="42" fillId="16" borderId="65" xfId="0" applyFont="1" applyFill="1" applyBorder="1"/>
    <xf numFmtId="0" fontId="42" fillId="16" borderId="66" xfId="0" applyFont="1" applyFill="1" applyBorder="1"/>
    <xf numFmtId="0" fontId="42" fillId="16" borderId="67" xfId="0" applyFont="1" applyFill="1" applyBorder="1"/>
    <xf numFmtId="0" fontId="42" fillId="17" borderId="48" xfId="0" applyFont="1" applyFill="1" applyBorder="1"/>
    <xf numFmtId="0" fontId="42" fillId="17" borderId="66" xfId="0" applyFont="1" applyFill="1" applyBorder="1"/>
    <xf numFmtId="0" fontId="41" fillId="17" borderId="62" xfId="0" applyFont="1" applyFill="1" applyBorder="1" applyAlignment="1">
      <alignment horizontal="left"/>
    </xf>
    <xf numFmtId="0" fontId="40" fillId="17" borderId="55" xfId="0" applyFont="1" applyFill="1" applyBorder="1" applyAlignment="1">
      <alignment horizontal="center"/>
    </xf>
    <xf numFmtId="0" fontId="40" fillId="18" borderId="26" xfId="0" applyFont="1" applyFill="1" applyBorder="1" applyAlignment="1">
      <alignment horizontal="center"/>
    </xf>
    <xf numFmtId="0" fontId="40" fillId="18" borderId="8" xfId="0" applyFont="1" applyFill="1" applyBorder="1" applyAlignment="1">
      <alignment horizontal="center"/>
    </xf>
    <xf numFmtId="0" fontId="40" fillId="18" borderId="55" xfId="0" applyFont="1" applyFill="1" applyBorder="1" applyAlignment="1">
      <alignment horizontal="center"/>
    </xf>
    <xf numFmtId="0" fontId="42" fillId="17" borderId="67" xfId="0" applyFont="1" applyFill="1" applyBorder="1" applyAlignment="1">
      <alignment horizontal="center"/>
    </xf>
    <xf numFmtId="0" fontId="42" fillId="18" borderId="48" xfId="0" applyFont="1" applyFill="1" applyBorder="1" applyAlignment="1">
      <alignment horizontal="center"/>
    </xf>
    <xf numFmtId="0" fontId="42" fillId="18" borderId="66" xfId="0" applyFont="1" applyFill="1" applyBorder="1" applyAlignment="1">
      <alignment horizontal="center"/>
    </xf>
    <xf numFmtId="0" fontId="42" fillId="18" borderId="67" xfId="0" applyFont="1" applyFill="1" applyBorder="1" applyAlignment="1">
      <alignment horizontal="center"/>
    </xf>
    <xf numFmtId="0" fontId="42" fillId="17" borderId="55" xfId="0" applyFont="1" applyFill="1" applyBorder="1"/>
    <xf numFmtId="0" fontId="42" fillId="18" borderId="26" xfId="0" applyFont="1" applyFill="1" applyBorder="1"/>
    <xf numFmtId="0" fontId="42" fillId="18" borderId="8" xfId="0" applyFont="1" applyFill="1" applyBorder="1"/>
    <xf numFmtId="0" fontId="42" fillId="18" borderId="55" xfId="0" applyFont="1" applyFill="1" applyBorder="1"/>
    <xf numFmtId="0" fontId="42" fillId="17" borderId="56" xfId="0" applyFont="1" applyFill="1" applyBorder="1"/>
    <xf numFmtId="0" fontId="42" fillId="18" borderId="5" xfId="0" applyFont="1" applyFill="1" applyBorder="1"/>
    <xf numFmtId="0" fontId="42" fillId="18" borderId="6" xfId="0" applyFont="1" applyFill="1" applyBorder="1"/>
    <xf numFmtId="0" fontId="42" fillId="18" borderId="56" xfId="0" applyFont="1" applyFill="1" applyBorder="1"/>
    <xf numFmtId="0" fontId="42" fillId="18" borderId="70" xfId="0" applyFont="1" applyFill="1" applyBorder="1"/>
    <xf numFmtId="0" fontId="42" fillId="17" borderId="67" xfId="0" applyFont="1" applyFill="1" applyBorder="1"/>
    <xf numFmtId="0" fontId="42" fillId="18" borderId="48" xfId="0" applyFont="1" applyFill="1" applyBorder="1"/>
    <xf numFmtId="0" fontId="42" fillId="18" borderId="66" xfId="0" applyFont="1" applyFill="1" applyBorder="1"/>
    <xf numFmtId="0" fontId="42" fillId="18" borderId="67" xfId="0" applyFont="1" applyFill="1" applyBorder="1"/>
    <xf numFmtId="2" fontId="45" fillId="19" borderId="0" xfId="0" applyNumberFormat="1" applyFont="1" applyFill="1" applyAlignment="1">
      <alignment horizontal="left" indent="1"/>
    </xf>
    <xf numFmtId="2" fontId="41" fillId="19" borderId="0" xfId="0" applyNumberFormat="1" applyFont="1" applyFill="1" applyAlignment="1" applyProtection="1">
      <alignment horizontal="center"/>
      <protection locked="0" hidden="1"/>
    </xf>
    <xf numFmtId="1" fontId="42" fillId="19" borderId="0" xfId="0" applyNumberFormat="1" applyFont="1" applyFill="1" applyAlignment="1">
      <alignment horizontal="left"/>
    </xf>
    <xf numFmtId="2" fontId="45" fillId="19" borderId="0" xfId="0" applyNumberFormat="1" applyFont="1" applyFill="1"/>
    <xf numFmtId="2" fontId="41" fillId="19" borderId="0" xfId="0" applyNumberFormat="1" applyFont="1" applyFill="1" applyAlignment="1" applyProtection="1">
      <alignment horizontal="center"/>
      <protection locked="0"/>
    </xf>
    <xf numFmtId="1" fontId="46" fillId="20" borderId="0" xfId="0" applyNumberFormat="1" applyFont="1" applyFill="1" applyAlignment="1">
      <alignment horizontal="center" vertical="center"/>
    </xf>
    <xf numFmtId="2" fontId="45" fillId="8" borderId="0" xfId="0" applyNumberFormat="1" applyFont="1" applyFill="1" applyAlignment="1">
      <alignment horizontal="left" vertical="center" wrapText="1" indent="1"/>
    </xf>
    <xf numFmtId="2" fontId="41" fillId="8" borderId="0" xfId="0" applyNumberFormat="1" applyFont="1" applyFill="1" applyAlignment="1" applyProtection="1">
      <alignment horizontal="center" vertical="center"/>
      <protection locked="0" hidden="1"/>
    </xf>
    <xf numFmtId="1" fontId="42" fillId="8" borderId="0" xfId="0" applyNumberFormat="1" applyFont="1" applyFill="1" applyAlignment="1">
      <alignment horizontal="left"/>
    </xf>
    <xf numFmtId="2" fontId="45" fillId="8" borderId="0" xfId="0" applyNumberFormat="1" applyFont="1" applyFill="1" applyAlignment="1">
      <alignment vertical="center"/>
    </xf>
    <xf numFmtId="2" fontId="41" fillId="8" borderId="0" xfId="0" applyNumberFormat="1" applyFont="1" applyFill="1" applyAlignment="1" applyProtection="1">
      <alignment horizontal="center" vertical="center"/>
      <protection locked="0"/>
    </xf>
    <xf numFmtId="1" fontId="46" fillId="2" borderId="0" xfId="0" applyNumberFormat="1" applyFont="1" applyFill="1" applyAlignment="1">
      <alignment horizontal="center" vertical="center"/>
    </xf>
    <xf numFmtId="2" fontId="45" fillId="8" borderId="0" xfId="0" applyNumberFormat="1" applyFont="1" applyFill="1" applyAlignment="1">
      <alignment horizontal="left" vertical="center" indent="1"/>
    </xf>
    <xf numFmtId="2" fontId="41" fillId="8" borderId="0" xfId="0" applyNumberFormat="1" applyFont="1" applyFill="1" applyAlignment="1">
      <alignment horizontal="center" vertical="center"/>
    </xf>
    <xf numFmtId="2" fontId="45" fillId="19" borderId="0" xfId="0" applyNumberFormat="1" applyFont="1" applyFill="1" applyAlignment="1">
      <alignment vertical="center" wrapText="1"/>
    </xf>
    <xf numFmtId="2" fontId="41" fillId="19" borderId="0" xfId="0" applyNumberFormat="1" applyFont="1" applyFill="1" applyAlignment="1">
      <alignment horizontal="center"/>
    </xf>
    <xf numFmtId="1" fontId="46" fillId="19" borderId="0" xfId="0" applyNumberFormat="1" applyFont="1" applyFill="1" applyAlignment="1">
      <alignment horizontal="center" vertical="center"/>
    </xf>
    <xf numFmtId="2" fontId="45" fillId="8" borderId="0" xfId="0" applyNumberFormat="1" applyFont="1" applyFill="1" applyAlignment="1">
      <alignment horizontal="left" indent="1"/>
    </xf>
    <xf numFmtId="2" fontId="41" fillId="8" borderId="0" xfId="0" applyNumberFormat="1" applyFont="1" applyFill="1" applyAlignment="1" applyProtection="1">
      <alignment horizontal="center"/>
      <protection locked="0" hidden="1"/>
    </xf>
    <xf numFmtId="2" fontId="41" fillId="8" borderId="0" xfId="0" applyNumberFormat="1" applyFont="1" applyFill="1" applyAlignment="1" applyProtection="1">
      <alignment horizontal="center"/>
      <protection locked="0"/>
    </xf>
    <xf numFmtId="2" fontId="46" fillId="19" borderId="0" xfId="0" applyNumberFormat="1" applyFont="1" applyFill="1" applyAlignment="1">
      <alignment horizontal="center" vertical="center"/>
    </xf>
    <xf numFmtId="2" fontId="45" fillId="8" borderId="0" xfId="0" applyNumberFormat="1" applyFont="1" applyFill="1"/>
    <xf numFmtId="2" fontId="48" fillId="8" borderId="0" xfId="0" applyNumberFormat="1" applyFont="1" applyFill="1"/>
    <xf numFmtId="2" fontId="50" fillId="9" borderId="0" xfId="0" applyNumberFormat="1" applyFont="1" applyFill="1" applyAlignment="1">
      <alignment horizontal="center" vertical="center"/>
    </xf>
    <xf numFmtId="1" fontId="45" fillId="19" borderId="0" xfId="0" applyNumberFormat="1" applyFont="1" applyFill="1"/>
    <xf numFmtId="2" fontId="41" fillId="13" borderId="0" xfId="0" applyNumberFormat="1" applyFont="1" applyFill="1" applyAlignment="1">
      <alignment horizontal="center"/>
    </xf>
    <xf numFmtId="2" fontId="41" fillId="8" borderId="0" xfId="0" applyNumberFormat="1" applyFont="1" applyFill="1" applyAlignment="1">
      <alignment horizontal="center"/>
    </xf>
    <xf numFmtId="1" fontId="45" fillId="8" borderId="0" xfId="0" applyNumberFormat="1" applyFont="1" applyFill="1" applyAlignment="1">
      <alignment horizontal="left"/>
    </xf>
    <xf numFmtId="2" fontId="51" fillId="20" borderId="0" xfId="0" applyNumberFormat="1" applyFont="1" applyFill="1" applyAlignment="1">
      <alignment horizontal="center" vertical="center"/>
    </xf>
    <xf numFmtId="2" fontId="52" fillId="21" borderId="17" xfId="0" applyNumberFormat="1" applyFont="1" applyFill="1" applyBorder="1" applyAlignment="1">
      <alignment horizontal="left"/>
    </xf>
    <xf numFmtId="2" fontId="52" fillId="21" borderId="17" xfId="0" applyNumberFormat="1" applyFont="1" applyFill="1" applyBorder="1" applyAlignment="1">
      <alignment horizontal="left" indent="2"/>
    </xf>
    <xf numFmtId="2" fontId="53" fillId="22" borderId="17" xfId="0" applyNumberFormat="1" applyFont="1" applyFill="1" applyBorder="1" applyAlignment="1">
      <alignment horizontal="center"/>
    </xf>
    <xf numFmtId="2" fontId="54" fillId="2" borderId="17" xfId="0" applyNumberFormat="1" applyFont="1" applyFill="1" applyBorder="1" applyAlignment="1">
      <alignment horizontal="center" vertical="center"/>
    </xf>
    <xf numFmtId="0" fontId="57" fillId="0" borderId="0" xfId="0" applyFont="1" applyAlignment="1">
      <alignment horizontal="left"/>
    </xf>
    <xf numFmtId="0" fontId="57" fillId="0" borderId="0" xfId="0" applyFont="1"/>
    <xf numFmtId="0" fontId="59" fillId="13" borderId="53" xfId="0" applyFont="1" applyFill="1" applyBorder="1"/>
    <xf numFmtId="0" fontId="61" fillId="13" borderId="71" xfId="0" applyFont="1" applyFill="1" applyBorder="1" applyAlignment="1" applyProtection="1">
      <alignment horizontal="center"/>
      <protection hidden="1"/>
    </xf>
    <xf numFmtId="0" fontId="61" fillId="13" borderId="46" xfId="0" applyFont="1" applyFill="1" applyBorder="1" applyProtection="1">
      <protection hidden="1"/>
    </xf>
    <xf numFmtId="0" fontId="61" fillId="13" borderId="72" xfId="0" applyFont="1" applyFill="1" applyBorder="1" applyAlignment="1" applyProtection="1">
      <alignment horizontal="center"/>
      <protection hidden="1"/>
    </xf>
    <xf numFmtId="0" fontId="61" fillId="13" borderId="26" xfId="0" applyFont="1" applyFill="1" applyBorder="1" applyProtection="1">
      <protection hidden="1"/>
    </xf>
    <xf numFmtId="0" fontId="61" fillId="13" borderId="69" xfId="0" applyFont="1" applyFill="1" applyBorder="1" applyAlignment="1" applyProtection="1">
      <alignment horizontal="center"/>
      <protection hidden="1"/>
    </xf>
    <xf numFmtId="0" fontId="61" fillId="13" borderId="5" xfId="0" applyFont="1" applyFill="1" applyBorder="1" applyAlignment="1" applyProtection="1">
      <alignment vertical="center"/>
      <protection hidden="1"/>
    </xf>
    <xf numFmtId="0" fontId="61" fillId="13" borderId="26" xfId="0" applyFont="1" applyFill="1" applyBorder="1" applyAlignment="1" applyProtection="1">
      <alignment vertical="center"/>
      <protection hidden="1"/>
    </xf>
    <xf numFmtId="1" fontId="12" fillId="0" borderId="6" xfId="0" applyNumberFormat="1" applyFont="1" applyBorder="1" applyAlignment="1" applyProtection="1">
      <alignment horizontal="center"/>
      <protection hidden="1"/>
    </xf>
    <xf numFmtId="0" fontId="12" fillId="0" borderId="6" xfId="0" applyFont="1" applyBorder="1" applyAlignment="1" applyProtection="1">
      <alignment horizontal="center"/>
      <protection hidden="1"/>
    </xf>
    <xf numFmtId="0" fontId="12" fillId="0" borderId="5" xfId="0" applyFont="1" applyBorder="1" applyAlignment="1" applyProtection="1">
      <alignment horizontal="center"/>
      <protection hidden="1"/>
    </xf>
    <xf numFmtId="1" fontId="16" fillId="0" borderId="3" xfId="0" applyNumberFormat="1" applyFont="1" applyBorder="1" applyAlignment="1" applyProtection="1">
      <alignment horizontal="center"/>
      <protection hidden="1"/>
    </xf>
    <xf numFmtId="0" fontId="61" fillId="13" borderId="3" xfId="0" applyFont="1" applyFill="1" applyBorder="1" applyAlignment="1" applyProtection="1">
      <alignment vertical="center"/>
      <protection hidden="1"/>
    </xf>
    <xf numFmtId="0" fontId="16" fillId="0" borderId="5" xfId="0" applyFont="1" applyBorder="1" applyAlignment="1" applyProtection="1">
      <alignment horizontal="center"/>
      <protection hidden="1"/>
    </xf>
    <xf numFmtId="0" fontId="61" fillId="13" borderId="6" xfId="0" applyFont="1" applyFill="1" applyBorder="1" applyAlignment="1" applyProtection="1">
      <alignment vertical="center"/>
      <protection hidden="1"/>
    </xf>
    <xf numFmtId="0" fontId="21" fillId="16" borderId="7" xfId="0" applyFont="1" applyFill="1" applyBorder="1" applyProtection="1">
      <protection hidden="1"/>
    </xf>
    <xf numFmtId="0" fontId="23" fillId="13" borderId="26" xfId="0" applyFont="1" applyFill="1" applyBorder="1" applyAlignment="1" applyProtection="1">
      <alignment vertical="center"/>
      <protection hidden="1"/>
    </xf>
    <xf numFmtId="1" fontId="16" fillId="16" borderId="29" xfId="0" applyNumberFormat="1" applyFont="1" applyFill="1" applyBorder="1" applyAlignment="1" applyProtection="1">
      <alignment horizontal="center"/>
      <protection hidden="1"/>
    </xf>
    <xf numFmtId="0" fontId="62" fillId="16" borderId="7" xfId="0" applyFont="1" applyFill="1" applyBorder="1" applyAlignment="1" applyProtection="1">
      <alignment horizontal="left"/>
      <protection hidden="1"/>
    </xf>
    <xf numFmtId="1" fontId="16" fillId="16" borderId="7" xfId="0" applyNumberFormat="1" applyFont="1" applyFill="1" applyBorder="1" applyProtection="1">
      <protection hidden="1"/>
    </xf>
    <xf numFmtId="0" fontId="61" fillId="6" borderId="6" xfId="0" applyFont="1" applyFill="1" applyBorder="1" applyProtection="1">
      <protection hidden="1"/>
    </xf>
    <xf numFmtId="0" fontId="0" fillId="6" borderId="1" xfId="0" applyFill="1" applyBorder="1"/>
    <xf numFmtId="0" fontId="66" fillId="13" borderId="5" xfId="0" applyFont="1" applyFill="1" applyBorder="1" applyAlignment="1" applyProtection="1">
      <alignment vertical="center"/>
      <protection hidden="1"/>
    </xf>
    <xf numFmtId="0" fontId="61" fillId="13" borderId="15" xfId="0" applyFont="1" applyFill="1" applyBorder="1" applyAlignment="1" applyProtection="1">
      <alignment vertical="center"/>
      <protection hidden="1"/>
    </xf>
    <xf numFmtId="0" fontId="61" fillId="13" borderId="5" xfId="0" applyFont="1" applyFill="1" applyBorder="1" applyAlignment="1" applyProtection="1">
      <alignment horizontal="left" vertical="center"/>
      <protection hidden="1"/>
    </xf>
    <xf numFmtId="0" fontId="61" fillId="13" borderId="26" xfId="0" applyFont="1" applyFill="1" applyBorder="1" applyAlignment="1" applyProtection="1">
      <alignment horizontal="left" vertical="center"/>
      <protection hidden="1"/>
    </xf>
    <xf numFmtId="0" fontId="16" fillId="0" borderId="6" xfId="0" applyFont="1" applyBorder="1" applyAlignment="1" applyProtection="1">
      <alignment horizontal="center"/>
      <protection hidden="1"/>
    </xf>
    <xf numFmtId="0" fontId="61" fillId="13" borderId="73" xfId="0" applyFont="1" applyFill="1" applyBorder="1" applyAlignment="1" applyProtection="1">
      <alignment horizontal="center"/>
      <protection hidden="1"/>
    </xf>
    <xf numFmtId="0" fontId="61" fillId="13" borderId="25" xfId="0" applyFont="1" applyFill="1" applyBorder="1" applyAlignment="1" applyProtection="1">
      <alignment horizontal="left" vertical="center"/>
      <protection hidden="1"/>
    </xf>
    <xf numFmtId="0" fontId="0" fillId="13" borderId="26" xfId="0" applyFill="1" applyBorder="1" applyAlignment="1">
      <alignment horizontal="center" vertical="center"/>
    </xf>
    <xf numFmtId="0" fontId="61" fillId="13" borderId="74" xfId="0" applyFont="1" applyFill="1" applyBorder="1" applyAlignment="1" applyProtection="1">
      <alignment horizontal="center"/>
      <protection hidden="1"/>
    </xf>
    <xf numFmtId="0" fontId="61" fillId="13" borderId="7" xfId="0" applyFont="1" applyFill="1" applyBorder="1" applyAlignment="1" applyProtection="1">
      <alignment horizontal="center"/>
      <protection hidden="1"/>
    </xf>
    <xf numFmtId="0" fontId="61" fillId="13" borderId="8" xfId="0" applyFont="1" applyFill="1" applyBorder="1" applyAlignment="1" applyProtection="1">
      <alignment horizontal="center"/>
      <protection hidden="1"/>
    </xf>
    <xf numFmtId="0" fontId="61" fillId="13" borderId="6" xfId="0" applyFont="1" applyFill="1" applyBorder="1" applyAlignment="1" applyProtection="1">
      <alignment horizontal="center"/>
      <protection hidden="1"/>
    </xf>
    <xf numFmtId="0" fontId="61" fillId="13" borderId="2" xfId="0" applyFont="1" applyFill="1" applyBorder="1" applyAlignment="1" applyProtection="1">
      <alignment vertical="center"/>
      <protection hidden="1"/>
    </xf>
    <xf numFmtId="0" fontId="61" fillId="13" borderId="2" xfId="0" applyFont="1" applyFill="1" applyBorder="1" applyAlignment="1" applyProtection="1">
      <alignment horizontal="center"/>
      <protection hidden="1"/>
    </xf>
    <xf numFmtId="0" fontId="66" fillId="8" borderId="16" xfId="0" applyFont="1" applyFill="1" applyBorder="1" applyProtection="1">
      <protection hidden="1"/>
    </xf>
    <xf numFmtId="0" fontId="66" fillId="8" borderId="17" xfId="0" applyFont="1" applyFill="1" applyBorder="1" applyProtection="1">
      <protection hidden="1"/>
    </xf>
    <xf numFmtId="0" fontId="66" fillId="8" borderId="25" xfId="0" applyFont="1" applyFill="1" applyBorder="1" applyProtection="1">
      <protection hidden="1"/>
    </xf>
    <xf numFmtId="0" fontId="61" fillId="13" borderId="29" xfId="0" applyFont="1" applyFill="1" applyBorder="1" applyProtection="1">
      <protection hidden="1"/>
    </xf>
    <xf numFmtId="0" fontId="66" fillId="8" borderId="22" xfId="0" applyFont="1" applyFill="1" applyBorder="1" applyProtection="1">
      <protection hidden="1"/>
    </xf>
    <xf numFmtId="0" fontId="66" fillId="8" borderId="1" xfId="0" applyFont="1" applyFill="1" applyBorder="1" applyProtection="1">
      <protection hidden="1"/>
    </xf>
    <xf numFmtId="0" fontId="66" fillId="8" borderId="26" xfId="0" applyFont="1" applyFill="1" applyBorder="1" applyProtection="1">
      <protection hidden="1"/>
    </xf>
    <xf numFmtId="0" fontId="0" fillId="13" borderId="29" xfId="0" applyFill="1" applyBorder="1"/>
    <xf numFmtId="0" fontId="67" fillId="16" borderId="3" xfId="0" applyFont="1" applyFill="1" applyBorder="1" applyAlignment="1" applyProtection="1">
      <alignment horizontal="left"/>
      <protection hidden="1"/>
    </xf>
    <xf numFmtId="0" fontId="67" fillId="16" borderId="4" xfId="0" applyFont="1" applyFill="1" applyBorder="1" applyAlignment="1" applyProtection="1">
      <alignment horizontal="left"/>
      <protection hidden="1"/>
    </xf>
    <xf numFmtId="0" fontId="67" fillId="16" borderId="5" xfId="0" applyFont="1" applyFill="1" applyBorder="1" applyAlignment="1" applyProtection="1">
      <alignment horizontal="left"/>
      <protection hidden="1"/>
    </xf>
    <xf numFmtId="0" fontId="68" fillId="13" borderId="7" xfId="0" applyFont="1" applyFill="1" applyBorder="1" applyProtection="1">
      <protection hidden="1"/>
    </xf>
    <xf numFmtId="0" fontId="68" fillId="13" borderId="29" xfId="0" applyFont="1" applyFill="1" applyBorder="1" applyProtection="1">
      <protection hidden="1"/>
    </xf>
    <xf numFmtId="0" fontId="61" fillId="23" borderId="74" xfId="0" applyFont="1" applyFill="1" applyBorder="1" applyAlignment="1" applyProtection="1">
      <alignment horizontal="center"/>
      <protection hidden="1"/>
    </xf>
    <xf numFmtId="0" fontId="68" fillId="13" borderId="22" xfId="0" applyFont="1" applyFill="1" applyBorder="1" applyProtection="1">
      <protection hidden="1"/>
    </xf>
    <xf numFmtId="0" fontId="67" fillId="16" borderId="6" xfId="0" applyFont="1" applyFill="1" applyBorder="1" applyAlignment="1" applyProtection="1">
      <alignment horizontal="left"/>
      <protection hidden="1"/>
    </xf>
    <xf numFmtId="0" fontId="0" fillId="16" borderId="1" xfId="0" applyFill="1" applyBorder="1"/>
    <xf numFmtId="0" fontId="0" fillId="16" borderId="26" xfId="0" applyFill="1" applyBorder="1"/>
    <xf numFmtId="0" fontId="0" fillId="16" borderId="4" xfId="0" applyFill="1" applyBorder="1"/>
    <xf numFmtId="0" fontId="61" fillId="23" borderId="72" xfId="0" applyFont="1" applyFill="1" applyBorder="1" applyAlignment="1" applyProtection="1">
      <alignment horizontal="center"/>
      <protection hidden="1"/>
    </xf>
    <xf numFmtId="0" fontId="68" fillId="23" borderId="75" xfId="0" applyFont="1" applyFill="1" applyBorder="1" applyProtection="1">
      <protection hidden="1"/>
    </xf>
    <xf numFmtId="1" fontId="16" fillId="0" borderId="13" xfId="0" applyNumberFormat="1" applyFont="1" applyBorder="1" applyProtection="1">
      <protection hidden="1"/>
    </xf>
    <xf numFmtId="0" fontId="0" fillId="16" borderId="3" xfId="0" applyFill="1" applyBorder="1" applyProtection="1">
      <protection hidden="1"/>
    </xf>
    <xf numFmtId="0" fontId="0" fillId="16" borderId="4" xfId="0" applyFill="1" applyBorder="1" applyProtection="1">
      <protection hidden="1"/>
    </xf>
    <xf numFmtId="0" fontId="12" fillId="13" borderId="4" xfId="0" applyFont="1" applyFill="1" applyBorder="1" applyAlignment="1" applyProtection="1">
      <alignment horizontal="left"/>
      <protection hidden="1"/>
    </xf>
    <xf numFmtId="0" fontId="12" fillId="13" borderId="5" xfId="0" applyFont="1" applyFill="1" applyBorder="1" applyAlignment="1" applyProtection="1">
      <alignment horizontal="left"/>
      <protection hidden="1"/>
    </xf>
    <xf numFmtId="1" fontId="16" fillId="0" borderId="22" xfId="0" applyNumberFormat="1" applyFont="1" applyBorder="1" applyAlignment="1" applyProtection="1">
      <alignment horizontal="center"/>
      <protection hidden="1"/>
    </xf>
    <xf numFmtId="1" fontId="16" fillId="0" borderId="8" xfId="0" applyNumberFormat="1" applyFont="1" applyBorder="1" applyAlignment="1" applyProtection="1">
      <alignment horizontal="center"/>
      <protection hidden="1"/>
    </xf>
    <xf numFmtId="0" fontId="70" fillId="6" borderId="3" xfId="0" applyFont="1" applyFill="1" applyBorder="1" applyProtection="1">
      <protection hidden="1"/>
    </xf>
    <xf numFmtId="0" fontId="70" fillId="6" borderId="4" xfId="0" applyFont="1" applyFill="1" applyBorder="1" applyProtection="1">
      <protection hidden="1"/>
    </xf>
    <xf numFmtId="0" fontId="8" fillId="6" borderId="4" xfId="0" applyFont="1" applyFill="1" applyBorder="1"/>
    <xf numFmtId="0" fontId="21" fillId="16" borderId="22" xfId="0" applyFont="1" applyFill="1" applyBorder="1" applyProtection="1">
      <protection hidden="1"/>
    </xf>
    <xf numFmtId="0" fontId="71" fillId="16" borderId="26" xfId="0" applyFont="1" applyFill="1" applyBorder="1" applyProtection="1">
      <protection hidden="1"/>
    </xf>
    <xf numFmtId="0" fontId="71" fillId="6" borderId="1" xfId="0" applyFont="1" applyFill="1" applyBorder="1" applyProtection="1">
      <protection hidden="1"/>
    </xf>
    <xf numFmtId="0" fontId="67" fillId="6" borderId="1" xfId="0" applyFont="1" applyFill="1" applyBorder="1" applyProtection="1">
      <protection hidden="1"/>
    </xf>
    <xf numFmtId="0" fontId="61" fillId="6" borderId="26" xfId="0" applyFont="1" applyFill="1" applyBorder="1" applyProtection="1">
      <protection hidden="1"/>
    </xf>
    <xf numFmtId="0" fontId="0" fillId="16" borderId="0" xfId="0" applyFill="1" applyProtection="1">
      <protection hidden="1"/>
    </xf>
    <xf numFmtId="0" fontId="5" fillId="16" borderId="0" xfId="0" applyFont="1" applyFill="1" applyProtection="1">
      <protection hidden="1"/>
    </xf>
    <xf numFmtId="0" fontId="0" fillId="16" borderId="0" xfId="0" applyFill="1"/>
    <xf numFmtId="0" fontId="12" fillId="0" borderId="6" xfId="0" applyFont="1" applyBorder="1" applyProtection="1">
      <protection hidden="1"/>
    </xf>
    <xf numFmtId="0" fontId="0" fillId="16" borderId="1" xfId="0" applyFill="1" applyBorder="1" applyProtection="1">
      <protection hidden="1"/>
    </xf>
    <xf numFmtId="0" fontId="0" fillId="16" borderId="29" xfId="0" applyFill="1" applyBorder="1" applyProtection="1">
      <protection hidden="1"/>
    </xf>
    <xf numFmtId="0" fontId="66" fillId="6" borderId="3" xfId="0" applyFont="1" applyFill="1" applyBorder="1" applyAlignment="1" applyProtection="1">
      <alignment vertical="center"/>
      <protection hidden="1"/>
    </xf>
    <xf numFmtId="0" fontId="66" fillId="6" borderId="4" xfId="0" applyFont="1" applyFill="1" applyBorder="1" applyAlignment="1" applyProtection="1">
      <alignment vertical="center"/>
      <protection hidden="1"/>
    </xf>
    <xf numFmtId="0" fontId="61" fillId="6" borderId="16" xfId="0" applyFont="1" applyFill="1" applyBorder="1" applyAlignment="1" applyProtection="1">
      <alignment vertical="center"/>
      <protection hidden="1"/>
    </xf>
    <xf numFmtId="0" fontId="61" fillId="6" borderId="17" xfId="0" applyFont="1" applyFill="1" applyBorder="1" applyAlignment="1" applyProtection="1">
      <alignment vertical="center"/>
      <protection hidden="1"/>
    </xf>
    <xf numFmtId="0" fontId="0" fillId="6" borderId="22" xfId="0" applyFill="1" applyBorder="1" applyAlignment="1" applyProtection="1">
      <alignment vertical="center"/>
      <protection hidden="1"/>
    </xf>
    <xf numFmtId="0" fontId="0" fillId="6" borderId="1" xfId="0" applyFill="1" applyBorder="1" applyAlignment="1" applyProtection="1">
      <alignment vertical="center"/>
      <protection hidden="1"/>
    </xf>
    <xf numFmtId="0" fontId="0" fillId="16" borderId="17" xfId="0" applyFill="1" applyBorder="1" applyProtection="1">
      <protection hidden="1"/>
    </xf>
    <xf numFmtId="0" fontId="8" fillId="16" borderId="17" xfId="0" applyFont="1" applyFill="1" applyBorder="1" applyProtection="1">
      <protection hidden="1"/>
    </xf>
    <xf numFmtId="0" fontId="5" fillId="16" borderId="0" xfId="0" applyFont="1" applyFill="1" applyAlignment="1" applyProtection="1">
      <alignment horizontal="center"/>
      <protection hidden="1"/>
    </xf>
    <xf numFmtId="0" fontId="8" fillId="8" borderId="17" xfId="0" applyFont="1" applyFill="1" applyBorder="1" applyProtection="1">
      <protection hidden="1"/>
    </xf>
    <xf numFmtId="0" fontId="8" fillId="8" borderId="17" xfId="0" applyFont="1" applyFill="1" applyBorder="1" applyAlignment="1" applyProtection="1">
      <alignment horizontal="center"/>
      <protection hidden="1"/>
    </xf>
    <xf numFmtId="0" fontId="8" fillId="8" borderId="22" xfId="0" applyFont="1" applyFill="1" applyBorder="1" applyProtection="1">
      <protection hidden="1"/>
    </xf>
    <xf numFmtId="0" fontId="8" fillId="8" borderId="1" xfId="0" applyFont="1" applyFill="1" applyBorder="1" applyAlignment="1" applyProtection="1">
      <alignment horizontal="center"/>
      <protection hidden="1"/>
    </xf>
    <xf numFmtId="0" fontId="8" fillId="8" borderId="1" xfId="0" applyFont="1" applyFill="1" applyBorder="1" applyProtection="1">
      <protection hidden="1"/>
    </xf>
    <xf numFmtId="0" fontId="0" fillId="16" borderId="5" xfId="0" applyFill="1" applyBorder="1"/>
    <xf numFmtId="0" fontId="5" fillId="0" borderId="47" xfId="0" applyFont="1" applyBorder="1" applyAlignment="1" applyProtection="1">
      <alignment horizontal="center"/>
      <protection hidden="1"/>
    </xf>
    <xf numFmtId="0" fontId="7" fillId="0" borderId="47" xfId="0" applyFont="1" applyBorder="1" applyProtection="1">
      <protection hidden="1"/>
    </xf>
    <xf numFmtId="0" fontId="69" fillId="6" borderId="9" xfId="0" applyFont="1" applyFill="1" applyBorder="1"/>
    <xf numFmtId="0" fontId="69" fillId="6" borderId="10" xfId="0" applyFont="1" applyFill="1" applyBorder="1"/>
    <xf numFmtId="0" fontId="69" fillId="19" borderId="59" xfId="0" applyFont="1" applyFill="1" applyBorder="1"/>
    <xf numFmtId="0" fontId="69" fillId="19" borderId="0" xfId="0" applyFont="1" applyFill="1"/>
    <xf numFmtId="0" fontId="69" fillId="19" borderId="12" xfId="0" applyFont="1" applyFill="1" applyBorder="1"/>
    <xf numFmtId="0" fontId="69" fillId="19" borderId="13" xfId="0" applyFont="1" applyFill="1" applyBorder="1"/>
    <xf numFmtId="0" fontId="5" fillId="6" borderId="6" xfId="0" applyFont="1" applyFill="1" applyBorder="1" applyProtection="1">
      <protection hidden="1"/>
    </xf>
    <xf numFmtId="1" fontId="16" fillId="16" borderId="1" xfId="0" applyNumberFormat="1" applyFont="1" applyFill="1" applyBorder="1" applyAlignment="1" applyProtection="1">
      <alignment horizontal="center"/>
      <protection hidden="1"/>
    </xf>
    <xf numFmtId="0" fontId="8" fillId="6" borderId="5" xfId="0" applyFont="1" applyFill="1" applyBorder="1"/>
    <xf numFmtId="0" fontId="0" fillId="6" borderId="4" xfId="0" applyFill="1" applyBorder="1" applyProtection="1">
      <protection hidden="1"/>
    </xf>
    <xf numFmtId="0" fontId="0" fillId="6" borderId="5" xfId="0" applyFill="1" applyBorder="1" applyProtection="1">
      <protection hidden="1"/>
    </xf>
    <xf numFmtId="0" fontId="10" fillId="16" borderId="1" xfId="0" applyFont="1" applyFill="1" applyBorder="1" applyProtection="1">
      <protection hidden="1"/>
    </xf>
    <xf numFmtId="0" fontId="8" fillId="16" borderId="0" xfId="0" applyFont="1" applyFill="1" applyProtection="1">
      <protection hidden="1"/>
    </xf>
    <xf numFmtId="0" fontId="0" fillId="23" borderId="5" xfId="0" applyFill="1" applyBorder="1"/>
    <xf numFmtId="0" fontId="0" fillId="3" borderId="5" xfId="0" applyFill="1" applyBorder="1" applyProtection="1">
      <protection hidden="1"/>
    </xf>
    <xf numFmtId="49" fontId="74" fillId="25" borderId="6" xfId="3" applyNumberFormat="1" applyFont="1" applyBorder="1" applyAlignment="1" applyProtection="1">
      <alignment horizontal="left"/>
      <protection hidden="1"/>
    </xf>
    <xf numFmtId="0" fontId="74" fillId="25" borderId="6" xfId="3" applyFont="1" applyBorder="1" applyAlignment="1" applyProtection="1">
      <alignment horizontal="left"/>
      <protection hidden="1"/>
    </xf>
    <xf numFmtId="0" fontId="67" fillId="6" borderId="22" xfId="0" applyFont="1" applyFill="1" applyBorder="1" applyProtection="1">
      <protection hidden="1"/>
    </xf>
    <xf numFmtId="0" fontId="16" fillId="16" borderId="0" xfId="0" applyFont="1" applyFill="1" applyProtection="1">
      <protection hidden="1"/>
    </xf>
    <xf numFmtId="49" fontId="74" fillId="25" borderId="2" xfId="3" applyNumberFormat="1" applyFont="1" applyBorder="1" applyAlignment="1" applyProtection="1">
      <alignment horizontal="left"/>
      <protection hidden="1"/>
    </xf>
    <xf numFmtId="0" fontId="74" fillId="25" borderId="2" xfId="3" applyFont="1" applyBorder="1" applyAlignment="1" applyProtection="1">
      <alignment horizontal="left"/>
      <protection hidden="1"/>
    </xf>
    <xf numFmtId="0" fontId="66" fillId="6" borderId="5" xfId="0" applyFont="1" applyFill="1" applyBorder="1" applyAlignment="1" applyProtection="1">
      <alignment vertical="center"/>
      <protection hidden="1"/>
    </xf>
    <xf numFmtId="0" fontId="61" fillId="6" borderId="25" xfId="0" applyFont="1" applyFill="1" applyBorder="1" applyAlignment="1" applyProtection="1">
      <alignment vertical="center"/>
      <protection hidden="1"/>
    </xf>
    <xf numFmtId="0" fontId="0" fillId="6" borderId="26" xfId="0" applyFill="1" applyBorder="1" applyAlignment="1" applyProtection="1">
      <alignment vertical="center"/>
      <protection hidden="1"/>
    </xf>
    <xf numFmtId="0" fontId="11" fillId="16" borderId="17" xfId="0" applyFont="1" applyFill="1" applyBorder="1" applyProtection="1">
      <protection hidden="1"/>
    </xf>
    <xf numFmtId="0" fontId="0" fillId="16" borderId="0" xfId="0" applyFill="1" applyAlignment="1" applyProtection="1">
      <alignment horizontal="center"/>
      <protection hidden="1"/>
    </xf>
    <xf numFmtId="0" fontId="8" fillId="8" borderId="25" xfId="0" applyFont="1" applyFill="1" applyBorder="1" applyProtection="1">
      <protection hidden="1"/>
    </xf>
    <xf numFmtId="0" fontId="10" fillId="8" borderId="17" xfId="0" applyFont="1" applyFill="1" applyBorder="1" applyProtection="1">
      <protection hidden="1"/>
    </xf>
    <xf numFmtId="0" fontId="10" fillId="8" borderId="17" xfId="0" applyFont="1" applyFill="1" applyBorder="1" applyAlignment="1" applyProtection="1">
      <alignment horizontal="center"/>
      <protection hidden="1"/>
    </xf>
    <xf numFmtId="0" fontId="8" fillId="8" borderId="26" xfId="0" applyFont="1" applyFill="1" applyBorder="1" applyProtection="1">
      <protection hidden="1"/>
    </xf>
    <xf numFmtId="0" fontId="10" fillId="8" borderId="22" xfId="0" applyFont="1" applyFill="1" applyBorder="1" applyProtection="1">
      <protection hidden="1"/>
    </xf>
    <xf numFmtId="0" fontId="10" fillId="8" borderId="1" xfId="0" applyFont="1" applyFill="1" applyBorder="1" applyAlignment="1" applyProtection="1">
      <alignment horizontal="center"/>
      <protection hidden="1"/>
    </xf>
    <xf numFmtId="0" fontId="10" fillId="8" borderId="1" xfId="0" applyFont="1" applyFill="1" applyBorder="1" applyProtection="1">
      <protection hidden="1"/>
    </xf>
    <xf numFmtId="2" fontId="21" fillId="9" borderId="5" xfId="0" applyNumberFormat="1" applyFont="1" applyFill="1" applyBorder="1" applyProtection="1">
      <protection hidden="1"/>
    </xf>
    <xf numFmtId="2" fontId="16" fillId="16" borderId="5" xfId="0" applyNumberFormat="1" applyFont="1" applyFill="1" applyBorder="1" applyProtection="1">
      <protection hidden="1"/>
    </xf>
    <xf numFmtId="0" fontId="7" fillId="0" borderId="13" xfId="0" applyFont="1" applyBorder="1" applyProtection="1">
      <protection hidden="1"/>
    </xf>
    <xf numFmtId="0" fontId="0" fillId="0" borderId="13" xfId="0" applyBorder="1" applyProtection="1">
      <protection hidden="1"/>
    </xf>
    <xf numFmtId="2" fontId="57" fillId="0" borderId="0" xfId="0" applyNumberFormat="1" applyFont="1" applyAlignment="1">
      <alignment horizontal="left"/>
    </xf>
    <xf numFmtId="0" fontId="23" fillId="0" borderId="0" xfId="0" applyFont="1"/>
    <xf numFmtId="0" fontId="0" fillId="9" borderId="0" xfId="0" applyFill="1"/>
    <xf numFmtId="0" fontId="0" fillId="0" borderId="8" xfId="0" applyBorder="1"/>
    <xf numFmtId="0" fontId="0" fillId="16" borderId="40" xfId="0" applyFill="1" applyBorder="1" applyProtection="1">
      <protection hidden="1"/>
    </xf>
    <xf numFmtId="0" fontId="16" fillId="16" borderId="76" xfId="0" applyFont="1" applyFill="1" applyBorder="1" applyProtection="1">
      <protection hidden="1"/>
    </xf>
    <xf numFmtId="0" fontId="0" fillId="0" borderId="74" xfId="0" applyBorder="1"/>
    <xf numFmtId="0" fontId="0" fillId="16" borderId="55" xfId="0" applyFill="1" applyBorder="1" applyProtection="1">
      <protection hidden="1"/>
    </xf>
    <xf numFmtId="0" fontId="6" fillId="0" borderId="0" xfId="0" applyFont="1"/>
    <xf numFmtId="0" fontId="16" fillId="0" borderId="0" xfId="0" applyFont="1"/>
    <xf numFmtId="0" fontId="16" fillId="16" borderId="25" xfId="0" applyFont="1" applyFill="1" applyBorder="1" applyProtection="1">
      <protection hidden="1"/>
    </xf>
    <xf numFmtId="0" fontId="16" fillId="16" borderId="77" xfId="0" applyFont="1" applyFill="1" applyBorder="1" applyProtection="1">
      <protection hidden="1"/>
    </xf>
    <xf numFmtId="0" fontId="16" fillId="16" borderId="40" xfId="0" applyFont="1" applyFill="1" applyBorder="1" applyProtection="1">
      <protection hidden="1"/>
    </xf>
    <xf numFmtId="0" fontId="7" fillId="16" borderId="40" xfId="0" applyFont="1" applyFill="1" applyBorder="1" applyProtection="1">
      <protection hidden="1"/>
    </xf>
    <xf numFmtId="0" fontId="7" fillId="0" borderId="72" xfId="0" applyFont="1" applyBorder="1"/>
    <xf numFmtId="0" fontId="10" fillId="8" borderId="77" xfId="0" applyFont="1" applyFill="1" applyBorder="1"/>
    <xf numFmtId="0" fontId="0" fillId="0" borderId="73" xfId="0" applyBorder="1"/>
    <xf numFmtId="0" fontId="0" fillId="0" borderId="7" xfId="0" applyBorder="1"/>
    <xf numFmtId="0" fontId="10" fillId="8" borderId="55" xfId="0" applyFont="1" applyFill="1" applyBorder="1" applyAlignment="1">
      <alignment horizontal="center"/>
    </xf>
    <xf numFmtId="2" fontId="21" fillId="9" borderId="4" xfId="0" applyNumberFormat="1" applyFont="1" applyFill="1" applyBorder="1" applyProtection="1">
      <protection hidden="1"/>
    </xf>
    <xf numFmtId="2" fontId="21" fillId="9" borderId="56" xfId="0" applyNumberFormat="1" applyFont="1" applyFill="1" applyBorder="1" applyProtection="1">
      <protection hidden="1"/>
    </xf>
    <xf numFmtId="0" fontId="0" fillId="0" borderId="26" xfId="0" applyBorder="1" applyAlignment="1">
      <alignment horizontal="center"/>
    </xf>
    <xf numFmtId="0" fontId="21" fillId="21" borderId="3" xfId="0" applyFont="1" applyFill="1" applyBorder="1" applyAlignment="1" applyProtection="1">
      <alignment horizontal="center"/>
      <protection hidden="1"/>
    </xf>
    <xf numFmtId="0" fontId="21" fillId="21" borderId="4" xfId="0" applyFont="1" applyFill="1" applyBorder="1" applyProtection="1">
      <protection hidden="1"/>
    </xf>
    <xf numFmtId="2" fontId="21" fillId="0" borderId="5" xfId="0" applyNumberFormat="1" applyFont="1" applyBorder="1" applyProtection="1">
      <protection hidden="1"/>
    </xf>
    <xf numFmtId="0" fontId="21" fillId="21" borderId="3" xfId="0" applyFont="1" applyFill="1" applyBorder="1" applyProtection="1">
      <protection hidden="1"/>
    </xf>
    <xf numFmtId="0" fontId="77" fillId="16" borderId="55" xfId="0" applyFont="1" applyFill="1" applyBorder="1" applyProtection="1">
      <protection hidden="1"/>
    </xf>
    <xf numFmtId="0" fontId="5" fillId="0" borderId="17" xfId="0" applyFont="1" applyBorder="1"/>
    <xf numFmtId="0" fontId="77" fillId="0" borderId="14" xfId="0" applyFont="1" applyBorder="1" applyProtection="1">
      <protection hidden="1"/>
    </xf>
    <xf numFmtId="0" fontId="78" fillId="0" borderId="0" xfId="0" applyFont="1"/>
    <xf numFmtId="0" fontId="79" fillId="0" borderId="0" xfId="0" applyFont="1"/>
    <xf numFmtId="0" fontId="80" fillId="0" borderId="0" xfId="0" applyFont="1" applyAlignment="1">
      <alignment horizontal="center"/>
    </xf>
    <xf numFmtId="0" fontId="81" fillId="0" borderId="0" xfId="0" applyFont="1"/>
    <xf numFmtId="0" fontId="82" fillId="0" borderId="40" xfId="0" applyFont="1" applyBorder="1"/>
    <xf numFmtId="0" fontId="83" fillId="0" borderId="40" xfId="0" applyFont="1" applyBorder="1"/>
    <xf numFmtId="0" fontId="84" fillId="0" borderId="40" xfId="0" applyFont="1" applyBorder="1"/>
    <xf numFmtId="0" fontId="84" fillId="0" borderId="40" xfId="0" applyFont="1" applyBorder="1" applyAlignment="1">
      <alignment vertical="top"/>
    </xf>
    <xf numFmtId="0" fontId="45" fillId="0" borderId="40" xfId="0" applyFont="1" applyBorder="1"/>
    <xf numFmtId="0" fontId="42" fillId="0" borderId="40" xfId="0" applyFont="1" applyBorder="1"/>
    <xf numFmtId="0" fontId="21" fillId="0" borderId="0" xfId="0" applyFont="1"/>
    <xf numFmtId="0" fontId="85" fillId="0" borderId="40" xfId="0" applyFont="1" applyBorder="1" applyAlignment="1">
      <alignment horizontal="center" vertical="center"/>
    </xf>
    <xf numFmtId="9" fontId="0" fillId="0" borderId="0" xfId="0" applyNumberFormat="1"/>
    <xf numFmtId="0" fontId="42" fillId="0" borderId="0" xfId="0" applyFont="1"/>
    <xf numFmtId="0" fontId="0" fillId="0" borderId="15" xfId="0" applyBorder="1" applyAlignment="1">
      <alignment horizontal="center"/>
    </xf>
    <xf numFmtId="1" fontId="16" fillId="23" borderId="3" xfId="0" applyNumberFormat="1" applyFont="1" applyFill="1" applyBorder="1" applyProtection="1">
      <protection hidden="1"/>
    </xf>
    <xf numFmtId="0" fontId="40" fillId="0" borderId="0" xfId="0" applyFont="1"/>
    <xf numFmtId="0" fontId="0" fillId="0" borderId="29" xfId="0" applyBorder="1"/>
    <xf numFmtId="0" fontId="21" fillId="21" borderId="5" xfId="0" applyFont="1" applyFill="1" applyBorder="1" applyProtection="1">
      <protection hidden="1"/>
    </xf>
    <xf numFmtId="0" fontId="86" fillId="0" borderId="0" xfId="0" applyFont="1"/>
    <xf numFmtId="0" fontId="87" fillId="0" borderId="0" xfId="0" applyFont="1" applyProtection="1">
      <protection hidden="1"/>
    </xf>
    <xf numFmtId="0" fontId="0" fillId="0" borderId="0" xfId="0" applyProtection="1">
      <protection locked="0"/>
    </xf>
    <xf numFmtId="0" fontId="40" fillId="18" borderId="1" xfId="0" applyFont="1" applyFill="1" applyBorder="1" applyAlignment="1">
      <alignment horizontal="center"/>
    </xf>
    <xf numFmtId="0" fontId="42" fillId="18" borderId="47" xfId="0" applyFont="1" applyFill="1" applyBorder="1" applyAlignment="1">
      <alignment horizontal="center"/>
    </xf>
    <xf numFmtId="0" fontId="42" fillId="18" borderId="1" xfId="0" applyFont="1" applyFill="1" applyBorder="1"/>
    <xf numFmtId="0" fontId="42" fillId="18" borderId="4" xfId="0" applyFont="1" applyFill="1" applyBorder="1"/>
    <xf numFmtId="0" fontId="7" fillId="0" borderId="0" xfId="0" applyFont="1" applyProtection="1">
      <protection locked="0"/>
    </xf>
    <xf numFmtId="0" fontId="13" fillId="0" borderId="0" xfId="0" applyFont="1"/>
    <xf numFmtId="2" fontId="13" fillId="0" borderId="0" xfId="0" applyNumberFormat="1" applyFont="1"/>
    <xf numFmtId="0" fontId="19" fillId="0" borderId="0" xfId="2" applyFont="1" applyAlignment="1" applyProtection="1">
      <alignment horizontal="left" vertical="center"/>
    </xf>
    <xf numFmtId="0" fontId="94" fillId="26" borderId="9" xfId="0" applyFont="1" applyFill="1" applyBorder="1" applyAlignment="1">
      <alignment vertical="center"/>
    </xf>
    <xf numFmtId="0" fontId="94" fillId="26" borderId="10" xfId="0" applyFont="1" applyFill="1" applyBorder="1" applyAlignment="1">
      <alignment vertical="center"/>
    </xf>
    <xf numFmtId="0" fontId="94" fillId="26" borderId="59" xfId="0" applyFont="1" applyFill="1" applyBorder="1" applyAlignment="1">
      <alignment vertical="center"/>
    </xf>
    <xf numFmtId="0" fontId="94" fillId="26" borderId="0" xfId="0" applyFont="1" applyFill="1" applyAlignment="1">
      <alignment vertical="center"/>
    </xf>
    <xf numFmtId="0" fontId="94" fillId="26" borderId="12" xfId="0" applyFont="1" applyFill="1" applyBorder="1" applyAlignment="1">
      <alignment vertical="center"/>
    </xf>
    <xf numFmtId="0" fontId="94" fillId="26" borderId="13" xfId="0" applyFont="1" applyFill="1" applyBorder="1" applyAlignment="1">
      <alignment vertical="center"/>
    </xf>
    <xf numFmtId="0" fontId="95" fillId="16" borderId="10" xfId="2" applyFont="1" applyFill="1" applyBorder="1" applyAlignment="1" applyProtection="1">
      <alignment vertical="center"/>
      <protection locked="0"/>
    </xf>
    <xf numFmtId="0" fontId="95" fillId="16" borderId="13" xfId="2" applyFont="1" applyFill="1" applyBorder="1" applyAlignment="1" applyProtection="1">
      <alignment vertical="center"/>
      <protection locked="0"/>
    </xf>
    <xf numFmtId="0" fontId="57" fillId="0" borderId="6" xfId="0" applyFont="1" applyBorder="1" applyAlignment="1">
      <alignment horizontal="left" vertical="center"/>
    </xf>
    <xf numFmtId="0" fontId="96" fillId="0" borderId="0" xfId="0" applyFont="1" applyAlignment="1">
      <alignment horizontal="left"/>
    </xf>
    <xf numFmtId="0" fontId="57" fillId="0" borderId="6" xfId="0" applyFont="1" applyBorder="1" applyAlignment="1">
      <alignment horizontal="left"/>
    </xf>
    <xf numFmtId="1" fontId="57" fillId="0" borderId="0" xfId="0" applyNumberFormat="1" applyFont="1"/>
    <xf numFmtId="0" fontId="57" fillId="0" borderId="17" xfId="0" applyFont="1" applyBorder="1"/>
    <xf numFmtId="0" fontId="5" fillId="0" borderId="0" xfId="0" applyFont="1" applyAlignment="1">
      <alignment horizontal="left"/>
    </xf>
    <xf numFmtId="0" fontId="59" fillId="13" borderId="53" xfId="0" applyFont="1" applyFill="1" applyBorder="1" applyAlignment="1">
      <alignment horizontal="left"/>
    </xf>
    <xf numFmtId="0" fontId="61" fillId="13" borderId="71" xfId="0" applyFont="1" applyFill="1" applyBorder="1" applyAlignment="1" applyProtection="1">
      <alignment horizontal="left"/>
      <protection hidden="1"/>
    </xf>
    <xf numFmtId="0" fontId="61" fillId="13" borderId="72" xfId="0" applyFont="1" applyFill="1" applyBorder="1" applyAlignment="1" applyProtection="1">
      <alignment horizontal="left"/>
      <protection hidden="1"/>
    </xf>
    <xf numFmtId="0" fontId="61" fillId="13" borderId="69" xfId="0" applyFont="1" applyFill="1" applyBorder="1" applyAlignment="1" applyProtection="1">
      <alignment horizontal="left"/>
      <protection hidden="1"/>
    </xf>
    <xf numFmtId="0" fontId="23" fillId="0" borderId="0" xfId="0" applyFont="1" applyAlignment="1">
      <alignment horizontal="left"/>
    </xf>
    <xf numFmtId="0" fontId="80" fillId="0" borderId="0" xfId="0" applyFont="1" applyAlignment="1">
      <alignment horizontal="left"/>
    </xf>
    <xf numFmtId="0" fontId="39" fillId="2" borderId="59" xfId="0" applyFont="1" applyFill="1" applyBorder="1" applyAlignment="1">
      <alignment horizontal="left" vertical="center"/>
    </xf>
    <xf numFmtId="0" fontId="39" fillId="2" borderId="0" xfId="0" applyFont="1" applyFill="1" applyAlignment="1">
      <alignment horizontal="left" vertical="center"/>
    </xf>
    <xf numFmtId="0" fontId="81" fillId="0" borderId="0" xfId="0" applyFont="1" applyAlignment="1">
      <alignment horizontal="left"/>
    </xf>
    <xf numFmtId="0" fontId="39" fillId="2" borderId="12" xfId="0" applyFont="1" applyFill="1" applyBorder="1" applyAlignment="1">
      <alignment horizontal="left" vertical="center"/>
    </xf>
    <xf numFmtId="0" fontId="39" fillId="2" borderId="13" xfId="0" applyFont="1" applyFill="1" applyBorder="1" applyAlignment="1">
      <alignment horizontal="left" vertical="center"/>
    </xf>
    <xf numFmtId="0" fontId="82" fillId="0" borderId="40" xfId="0" applyFont="1" applyBorder="1" applyAlignment="1">
      <alignment horizontal="left"/>
    </xf>
    <xf numFmtId="0" fontId="40" fillId="15" borderId="40" xfId="0" applyFont="1" applyFill="1" applyBorder="1" applyAlignment="1">
      <alignment horizontal="left"/>
    </xf>
    <xf numFmtId="0" fontId="41" fillId="16" borderId="1" xfId="0" applyFont="1" applyFill="1" applyBorder="1" applyAlignment="1">
      <alignment horizontal="left"/>
    </xf>
    <xf numFmtId="0" fontId="83" fillId="0" borderId="40" xfId="0" applyFont="1" applyBorder="1" applyAlignment="1">
      <alignment horizontal="left"/>
    </xf>
    <xf numFmtId="0" fontId="40" fillId="15" borderId="63" xfId="0" applyFont="1" applyFill="1" applyBorder="1" applyAlignment="1">
      <alignment horizontal="left"/>
    </xf>
    <xf numFmtId="0" fontId="40" fillId="16" borderId="5" xfId="0" applyFont="1" applyFill="1" applyBorder="1" applyAlignment="1">
      <alignment horizontal="left"/>
    </xf>
    <xf numFmtId="0" fontId="40" fillId="16" borderId="6" xfId="0" applyFont="1" applyFill="1" applyBorder="1" applyAlignment="1">
      <alignment horizontal="left"/>
    </xf>
    <xf numFmtId="0" fontId="84" fillId="0" borderId="40" xfId="0" applyFont="1" applyBorder="1" applyAlignment="1">
      <alignment horizontal="left"/>
    </xf>
    <xf numFmtId="0" fontId="40" fillId="15" borderId="64" xfId="0" applyFont="1" applyFill="1" applyBorder="1" applyAlignment="1">
      <alignment horizontal="left"/>
    </xf>
    <xf numFmtId="0" fontId="42" fillId="16" borderId="65" xfId="0" applyFont="1" applyFill="1" applyBorder="1" applyAlignment="1">
      <alignment horizontal="left"/>
    </xf>
    <xf numFmtId="0" fontId="42" fillId="16" borderId="66" xfId="0" applyFont="1" applyFill="1" applyBorder="1" applyAlignment="1">
      <alignment horizontal="left"/>
    </xf>
    <xf numFmtId="0" fontId="40" fillId="17" borderId="6" xfId="0" applyFont="1" applyFill="1" applyBorder="1" applyAlignment="1">
      <alignment horizontal="left"/>
    </xf>
    <xf numFmtId="0" fontId="40" fillId="17" borderId="55" xfId="0" applyFont="1" applyFill="1" applyBorder="1" applyAlignment="1">
      <alignment horizontal="left"/>
    </xf>
    <xf numFmtId="0" fontId="40" fillId="18" borderId="26" xfId="0" applyFont="1" applyFill="1" applyBorder="1" applyAlignment="1">
      <alignment horizontal="left"/>
    </xf>
    <xf numFmtId="0" fontId="40" fillId="18" borderId="8" xfId="0" applyFont="1" applyFill="1" applyBorder="1" applyAlignment="1">
      <alignment horizontal="left"/>
    </xf>
    <xf numFmtId="0" fontId="42" fillId="17" borderId="66" xfId="0" applyFont="1" applyFill="1" applyBorder="1" applyAlignment="1">
      <alignment horizontal="left"/>
    </xf>
    <xf numFmtId="0" fontId="42" fillId="17" borderId="67" xfId="0" applyFont="1" applyFill="1" applyBorder="1" applyAlignment="1">
      <alignment horizontal="left"/>
    </xf>
    <xf numFmtId="0" fontId="42" fillId="18" borderId="48" xfId="0" applyFont="1" applyFill="1" applyBorder="1" applyAlignment="1">
      <alignment horizontal="left"/>
    </xf>
    <xf numFmtId="0" fontId="42" fillId="18" borderId="66" xfId="0" applyFont="1" applyFill="1" applyBorder="1" applyAlignment="1">
      <alignment horizontal="left"/>
    </xf>
    <xf numFmtId="0" fontId="41" fillId="16" borderId="55" xfId="0" applyFont="1" applyFill="1" applyBorder="1" applyAlignment="1">
      <alignment horizontal="left"/>
    </xf>
    <xf numFmtId="0" fontId="41" fillId="17" borderId="1" xfId="0" applyFont="1" applyFill="1" applyBorder="1" applyAlignment="1">
      <alignment horizontal="left"/>
    </xf>
    <xf numFmtId="0" fontId="42" fillId="17" borderId="7" xfId="0" applyFont="1" applyFill="1" applyBorder="1" applyAlignment="1">
      <alignment horizontal="left"/>
    </xf>
    <xf numFmtId="0" fontId="42" fillId="17" borderId="40" xfId="0" applyFont="1" applyFill="1" applyBorder="1" applyAlignment="1">
      <alignment horizontal="left"/>
    </xf>
    <xf numFmtId="0" fontId="42" fillId="18" borderId="15" xfId="0" applyFont="1" applyFill="1" applyBorder="1" applyAlignment="1">
      <alignment horizontal="left"/>
    </xf>
    <xf numFmtId="0" fontId="42" fillId="18" borderId="7" xfId="0" applyFont="1" applyFill="1" applyBorder="1" applyAlignment="1">
      <alignment horizontal="left"/>
    </xf>
    <xf numFmtId="0" fontId="40" fillId="16" borderId="8" xfId="0" applyFont="1" applyFill="1" applyBorder="1" applyAlignment="1">
      <alignment horizontal="left"/>
    </xf>
    <xf numFmtId="0" fontId="40" fillId="16" borderId="55" xfId="0" applyFont="1" applyFill="1" applyBorder="1" applyAlignment="1">
      <alignment horizontal="left"/>
    </xf>
    <xf numFmtId="0" fontId="40" fillId="17" borderId="5" xfId="0" applyFont="1" applyFill="1" applyBorder="1" applyAlignment="1">
      <alignment horizontal="left"/>
    </xf>
    <xf numFmtId="0" fontId="42" fillId="17" borderId="8" xfId="0" applyFont="1" applyFill="1" applyBorder="1" applyAlignment="1">
      <alignment horizontal="left"/>
    </xf>
    <xf numFmtId="0" fontId="42" fillId="17" borderId="55" xfId="0" applyFont="1" applyFill="1" applyBorder="1" applyAlignment="1">
      <alignment horizontal="left"/>
    </xf>
    <xf numFmtId="0" fontId="42" fillId="18" borderId="26" xfId="0" applyFont="1" applyFill="1" applyBorder="1" applyAlignment="1">
      <alignment horizontal="left"/>
    </xf>
    <xf numFmtId="0" fontId="42" fillId="18" borderId="8" xfId="0" applyFont="1" applyFill="1" applyBorder="1" applyAlignment="1">
      <alignment horizontal="left"/>
    </xf>
    <xf numFmtId="0" fontId="42" fillId="16" borderId="67" xfId="0" applyFont="1" applyFill="1" applyBorder="1" applyAlignment="1">
      <alignment horizontal="left"/>
    </xf>
    <xf numFmtId="0" fontId="42" fillId="17" borderId="48" xfId="0" applyFont="1" applyFill="1" applyBorder="1" applyAlignment="1">
      <alignment horizontal="left"/>
    </xf>
    <xf numFmtId="0" fontId="42" fillId="17" borderId="6" xfId="0" applyFont="1" applyFill="1" applyBorder="1" applyAlignment="1">
      <alignment horizontal="left"/>
    </xf>
    <xf numFmtId="0" fontId="42" fillId="17" borderId="56" xfId="0" applyFont="1" applyFill="1" applyBorder="1" applyAlignment="1">
      <alignment horizontal="left"/>
    </xf>
    <xf numFmtId="0" fontId="42" fillId="18" borderId="5" xfId="0" applyFont="1" applyFill="1" applyBorder="1" applyAlignment="1">
      <alignment horizontal="left"/>
    </xf>
    <xf numFmtId="0" fontId="42" fillId="18" borderId="6" xfId="0" applyFont="1" applyFill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59" xfId="0" applyBorder="1"/>
    <xf numFmtId="0" fontId="0" fillId="0" borderId="12" xfId="0" applyBorder="1"/>
    <xf numFmtId="0" fontId="97" fillId="0" borderId="0" xfId="0" applyFont="1" applyAlignment="1">
      <alignment horizontal="left" vertical="center"/>
    </xf>
    <xf numFmtId="0" fontId="98" fillId="0" borderId="0" xfId="0" applyFont="1" applyAlignment="1">
      <alignment horizontal="left"/>
    </xf>
    <xf numFmtId="0" fontId="98" fillId="0" borderId="0" xfId="0" applyFont="1" applyAlignment="1">
      <alignment horizontal="left" vertical="center"/>
    </xf>
    <xf numFmtId="0" fontId="40" fillId="18" borderId="1" xfId="0" applyFont="1" applyFill="1" applyBorder="1" applyAlignment="1">
      <alignment horizontal="left"/>
    </xf>
    <xf numFmtId="0" fontId="42" fillId="18" borderId="47" xfId="0" applyFont="1" applyFill="1" applyBorder="1" applyAlignment="1">
      <alignment horizontal="left"/>
    </xf>
    <xf numFmtId="0" fontId="42" fillId="18" borderId="0" xfId="0" applyFont="1" applyFill="1" applyAlignment="1">
      <alignment horizontal="left"/>
    </xf>
    <xf numFmtId="0" fontId="42" fillId="18" borderId="1" xfId="0" applyFont="1" applyFill="1" applyBorder="1" applyAlignment="1">
      <alignment horizontal="left"/>
    </xf>
    <xf numFmtId="0" fontId="42" fillId="18" borderId="4" xfId="0" applyFont="1" applyFill="1" applyBorder="1" applyAlignment="1">
      <alignment horizontal="left"/>
    </xf>
    <xf numFmtId="0" fontId="104" fillId="0" borderId="0" xfId="2" applyFont="1" applyBorder="1" applyAlignment="1" applyProtection="1">
      <alignment horizontal="left"/>
    </xf>
    <xf numFmtId="0" fontId="0" fillId="0" borderId="11" xfId="0" applyBorder="1"/>
    <xf numFmtId="0" fontId="0" fillId="0" borderId="14" xfId="0" applyBorder="1"/>
    <xf numFmtId="0" fontId="106" fillId="0" borderId="0" xfId="0" applyFont="1" applyAlignment="1" applyProtection="1">
      <alignment horizontal="center"/>
      <protection locked="0"/>
    </xf>
    <xf numFmtId="0" fontId="108" fillId="0" borderId="0" xfId="0" applyFont="1" applyAlignment="1">
      <alignment horizontal="left"/>
    </xf>
    <xf numFmtId="0" fontId="109" fillId="0" borderId="0" xfId="0" applyFont="1" applyAlignment="1">
      <alignment horizontal="left"/>
    </xf>
    <xf numFmtId="0" fontId="107" fillId="26" borderId="0" xfId="2" applyFont="1" applyFill="1" applyBorder="1" applyAlignment="1" applyProtection="1">
      <alignment horizontal="center" vertical="center"/>
      <protection locked="0"/>
    </xf>
    <xf numFmtId="0" fontId="110" fillId="6" borderId="0" xfId="2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95" fillId="16" borderId="10" xfId="2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center" vertical="center"/>
    </xf>
    <xf numFmtId="0" fontId="115" fillId="0" borderId="0" xfId="0" applyFont="1"/>
    <xf numFmtId="0" fontId="5" fillId="0" borderId="6" xfId="0" applyFont="1" applyBorder="1"/>
    <xf numFmtId="0" fontId="5" fillId="0" borderId="0" xfId="0" quotePrefix="1" applyFont="1" applyProtection="1">
      <protection hidden="1"/>
    </xf>
    <xf numFmtId="0" fontId="5" fillId="11" borderId="0" xfId="0" quotePrefix="1" applyFont="1" applyFill="1" applyProtection="1">
      <protection hidden="1"/>
    </xf>
    <xf numFmtId="0" fontId="21" fillId="0" borderId="0" xfId="0" quotePrefix="1" applyFont="1" applyProtection="1">
      <protection hidden="1"/>
    </xf>
    <xf numFmtId="0" fontId="8" fillId="0" borderId="22" xfId="0" quotePrefix="1" applyFont="1" applyBorder="1" applyProtection="1">
      <protection hidden="1"/>
    </xf>
    <xf numFmtId="0" fontId="20" fillId="0" borderId="1" xfId="0" quotePrefix="1" applyFont="1" applyBorder="1" applyProtection="1">
      <protection hidden="1"/>
    </xf>
    <xf numFmtId="0" fontId="7" fillId="0" borderId="15" xfId="0" quotePrefix="1" applyFont="1" applyBorder="1" applyProtection="1">
      <protection hidden="1"/>
    </xf>
    <xf numFmtId="0" fontId="0" fillId="0" borderId="0" xfId="0" quotePrefix="1"/>
    <xf numFmtId="0" fontId="0" fillId="0" borderId="22" xfId="0" quotePrefix="1" applyBorder="1"/>
    <xf numFmtId="0" fontId="0" fillId="0" borderId="1" xfId="0" quotePrefix="1" applyBorder="1"/>
    <xf numFmtId="0" fontId="0" fillId="0" borderId="26" xfId="0" quotePrefix="1" applyBorder="1"/>
    <xf numFmtId="0" fontId="113" fillId="9" borderId="0" xfId="2" applyFont="1" applyFill="1" applyBorder="1" applyAlignment="1" applyProtection="1">
      <alignment horizontal="center" vertical="center"/>
    </xf>
    <xf numFmtId="0" fontId="90" fillId="3" borderId="9" xfId="2" applyFont="1" applyFill="1" applyBorder="1" applyAlignment="1" applyProtection="1">
      <alignment horizontal="center" vertical="center"/>
      <protection locked="0"/>
    </xf>
    <xf numFmtId="0" fontId="90" fillId="3" borderId="10" xfId="2" applyFont="1" applyFill="1" applyBorder="1" applyAlignment="1" applyProtection="1">
      <alignment horizontal="center" vertical="center"/>
      <protection locked="0"/>
    </xf>
    <xf numFmtId="0" fontId="90" fillId="3" borderId="11" xfId="2" applyFont="1" applyFill="1" applyBorder="1" applyAlignment="1" applyProtection="1">
      <alignment horizontal="center" vertical="center"/>
      <protection locked="0"/>
    </xf>
    <xf numFmtId="0" fontId="90" fillId="3" borderId="12" xfId="2" applyFont="1" applyFill="1" applyBorder="1" applyAlignment="1" applyProtection="1">
      <alignment horizontal="center" vertical="center"/>
      <protection locked="0"/>
    </xf>
    <xf numFmtId="0" fontId="90" fillId="3" borderId="13" xfId="2" applyFont="1" applyFill="1" applyBorder="1" applyAlignment="1" applyProtection="1">
      <alignment horizontal="center" vertical="center"/>
      <protection locked="0"/>
    </xf>
    <xf numFmtId="0" fontId="90" fillId="3" borderId="14" xfId="2" applyFont="1" applyFill="1" applyBorder="1" applyAlignment="1" applyProtection="1">
      <alignment horizontal="center" vertical="center"/>
      <protection locked="0"/>
    </xf>
    <xf numFmtId="0" fontId="15" fillId="10" borderId="9" xfId="2" applyFont="1" applyFill="1" applyBorder="1" applyAlignment="1" applyProtection="1">
      <alignment horizontal="center" vertical="center"/>
      <protection locked="0"/>
    </xf>
    <xf numFmtId="0" fontId="15" fillId="10" borderId="10" xfId="2" applyFont="1" applyFill="1" applyBorder="1" applyAlignment="1" applyProtection="1">
      <alignment horizontal="center" vertical="center"/>
      <protection locked="0"/>
    </xf>
    <xf numFmtId="0" fontId="15" fillId="10" borderId="11" xfId="2" applyFont="1" applyFill="1" applyBorder="1" applyAlignment="1" applyProtection="1">
      <alignment horizontal="center" vertical="center"/>
      <protection locked="0"/>
    </xf>
    <xf numFmtId="0" fontId="15" fillId="10" borderId="12" xfId="2" applyFont="1" applyFill="1" applyBorder="1" applyAlignment="1" applyProtection="1">
      <alignment horizontal="center" vertical="center"/>
      <protection locked="0"/>
    </xf>
    <xf numFmtId="0" fontId="15" fillId="10" borderId="13" xfId="2" applyFont="1" applyFill="1" applyBorder="1" applyAlignment="1" applyProtection="1">
      <alignment horizontal="center" vertical="center"/>
      <protection locked="0"/>
    </xf>
    <xf numFmtId="0" fontId="15" fillId="10" borderId="14" xfId="2" applyFont="1" applyFill="1" applyBorder="1" applyAlignment="1" applyProtection="1">
      <alignment horizontal="center" vertical="center"/>
      <protection locked="0"/>
    </xf>
    <xf numFmtId="0" fontId="110" fillId="6" borderId="9" xfId="2" applyFont="1" applyFill="1" applyBorder="1" applyAlignment="1" applyProtection="1">
      <alignment horizontal="center" vertical="center"/>
      <protection locked="0"/>
    </xf>
    <xf numFmtId="0" fontId="110" fillId="6" borderId="10" xfId="2" applyFont="1" applyFill="1" applyBorder="1" applyAlignment="1" applyProtection="1">
      <alignment horizontal="center" vertical="center"/>
      <protection locked="0"/>
    </xf>
    <xf numFmtId="0" fontId="110" fillId="6" borderId="11" xfId="2" applyFont="1" applyFill="1" applyBorder="1" applyAlignment="1" applyProtection="1">
      <alignment horizontal="center" vertical="center"/>
      <protection locked="0"/>
    </xf>
    <xf numFmtId="0" fontId="110" fillId="6" borderId="12" xfId="2" applyFont="1" applyFill="1" applyBorder="1" applyAlignment="1" applyProtection="1">
      <alignment horizontal="center" vertical="center"/>
      <protection locked="0"/>
    </xf>
    <xf numFmtId="0" fontId="110" fillId="6" borderId="13" xfId="2" applyFont="1" applyFill="1" applyBorder="1" applyAlignment="1" applyProtection="1">
      <alignment horizontal="center" vertical="center"/>
      <protection locked="0"/>
    </xf>
    <xf numFmtId="0" fontId="110" fillId="6" borderId="14" xfId="2" applyFont="1" applyFill="1" applyBorder="1" applyAlignment="1" applyProtection="1">
      <alignment horizontal="center" vertical="center"/>
      <protection locked="0"/>
    </xf>
    <xf numFmtId="0" fontId="107" fillId="26" borderId="9" xfId="2" applyFont="1" applyFill="1" applyBorder="1" applyAlignment="1" applyProtection="1">
      <alignment horizontal="center" vertical="center"/>
      <protection locked="0"/>
    </xf>
    <xf numFmtId="0" fontId="107" fillId="26" borderId="10" xfId="2" applyFont="1" applyFill="1" applyBorder="1" applyAlignment="1" applyProtection="1">
      <alignment horizontal="center" vertical="center"/>
      <protection locked="0"/>
    </xf>
    <xf numFmtId="0" fontId="107" fillId="26" borderId="11" xfId="2" applyFont="1" applyFill="1" applyBorder="1" applyAlignment="1" applyProtection="1">
      <alignment horizontal="center" vertical="center"/>
      <protection locked="0"/>
    </xf>
    <xf numFmtId="0" fontId="107" fillId="26" borderId="12" xfId="2" applyFont="1" applyFill="1" applyBorder="1" applyAlignment="1" applyProtection="1">
      <alignment horizontal="center" vertical="center"/>
      <protection locked="0"/>
    </xf>
    <xf numFmtId="0" fontId="107" fillId="26" borderId="13" xfId="2" applyFont="1" applyFill="1" applyBorder="1" applyAlignment="1" applyProtection="1">
      <alignment horizontal="center" vertical="center"/>
      <protection locked="0"/>
    </xf>
    <xf numFmtId="0" fontId="107" fillId="26" borderId="14" xfId="2" applyFont="1" applyFill="1" applyBorder="1" applyAlignment="1" applyProtection="1">
      <alignment horizontal="center" vertical="center"/>
      <protection locked="0"/>
    </xf>
    <xf numFmtId="0" fontId="18" fillId="3" borderId="16" xfId="2" applyFont="1" applyFill="1" applyBorder="1" applyAlignment="1" applyProtection="1">
      <alignment horizontal="center" vertical="center" wrapText="1"/>
      <protection locked="0"/>
    </xf>
    <xf numFmtId="0" fontId="18" fillId="3" borderId="17" xfId="2" applyFont="1" applyFill="1" applyBorder="1" applyAlignment="1" applyProtection="1">
      <alignment horizontal="center" vertical="center" wrapText="1"/>
      <protection locked="0"/>
    </xf>
    <xf numFmtId="0" fontId="18" fillId="3" borderId="25" xfId="2" applyFont="1" applyFill="1" applyBorder="1" applyAlignment="1" applyProtection="1">
      <alignment horizontal="center" vertical="center" wrapText="1"/>
      <protection locked="0"/>
    </xf>
    <xf numFmtId="0" fontId="18" fillId="3" borderId="22" xfId="2" applyFont="1" applyFill="1" applyBorder="1" applyAlignment="1" applyProtection="1">
      <alignment horizontal="center" vertical="center" wrapText="1"/>
      <protection locked="0"/>
    </xf>
    <xf numFmtId="0" fontId="18" fillId="3" borderId="1" xfId="2" applyFont="1" applyFill="1" applyBorder="1" applyAlignment="1" applyProtection="1">
      <alignment horizontal="center" vertical="center" wrapText="1"/>
      <protection locked="0"/>
    </xf>
    <xf numFmtId="0" fontId="18" fillId="3" borderId="26" xfId="2" applyFont="1" applyFill="1" applyBorder="1" applyAlignment="1" applyProtection="1">
      <alignment horizontal="center" vertical="center" wrapText="1"/>
      <protection locked="0"/>
    </xf>
    <xf numFmtId="0" fontId="114" fillId="3" borderId="16" xfId="2" applyFont="1" applyFill="1" applyBorder="1" applyAlignment="1" applyProtection="1">
      <alignment horizontal="center" vertical="center" wrapText="1"/>
      <protection locked="0"/>
    </xf>
    <xf numFmtId="0" fontId="114" fillId="3" borderId="17" xfId="2" applyFont="1" applyFill="1" applyBorder="1" applyAlignment="1" applyProtection="1">
      <alignment horizontal="center" vertical="center" wrapText="1"/>
      <protection locked="0"/>
    </xf>
    <xf numFmtId="0" fontId="114" fillId="3" borderId="25" xfId="2" applyFont="1" applyFill="1" applyBorder="1" applyAlignment="1" applyProtection="1">
      <alignment horizontal="center" vertical="center" wrapText="1"/>
      <protection locked="0"/>
    </xf>
    <xf numFmtId="0" fontId="114" fillId="3" borderId="22" xfId="2" applyFont="1" applyFill="1" applyBorder="1" applyAlignment="1" applyProtection="1">
      <alignment horizontal="center" vertical="center" wrapText="1"/>
      <protection locked="0"/>
    </xf>
    <xf numFmtId="0" fontId="114" fillId="3" borderId="1" xfId="2" applyFont="1" applyFill="1" applyBorder="1" applyAlignment="1" applyProtection="1">
      <alignment horizontal="center" vertical="center" wrapText="1"/>
      <protection locked="0"/>
    </xf>
    <xf numFmtId="0" fontId="114" fillId="3" borderId="26" xfId="2" applyFont="1" applyFill="1" applyBorder="1" applyAlignment="1" applyProtection="1">
      <alignment horizontal="center" vertical="center" wrapText="1"/>
      <protection locked="0"/>
    </xf>
    <xf numFmtId="0" fontId="105" fillId="26" borderId="9" xfId="2" applyFont="1" applyFill="1" applyBorder="1" applyAlignment="1" applyProtection="1">
      <alignment horizontal="center" vertical="center"/>
      <protection locked="0"/>
    </xf>
    <xf numFmtId="0" fontId="105" fillId="26" borderId="10" xfId="2" applyFont="1" applyFill="1" applyBorder="1" applyAlignment="1" applyProtection="1">
      <alignment horizontal="center" vertical="center"/>
      <protection locked="0"/>
    </xf>
    <xf numFmtId="0" fontId="105" fillId="26" borderId="11" xfId="2" applyFont="1" applyFill="1" applyBorder="1" applyAlignment="1" applyProtection="1">
      <alignment horizontal="center" vertical="center"/>
      <protection locked="0"/>
    </xf>
    <xf numFmtId="0" fontId="105" fillId="26" borderId="12" xfId="2" applyFont="1" applyFill="1" applyBorder="1" applyAlignment="1" applyProtection="1">
      <alignment horizontal="center" vertical="center"/>
      <protection locked="0"/>
    </xf>
    <xf numFmtId="0" fontId="105" fillId="26" borderId="13" xfId="2" applyFont="1" applyFill="1" applyBorder="1" applyAlignment="1" applyProtection="1">
      <alignment horizontal="center" vertical="center"/>
      <protection locked="0"/>
    </xf>
    <xf numFmtId="0" fontId="105" fillId="26" borderId="14" xfId="2" applyFont="1" applyFill="1" applyBorder="1" applyAlignment="1" applyProtection="1">
      <alignment horizontal="center" vertical="center"/>
      <protection locked="0"/>
    </xf>
    <xf numFmtId="0" fontId="36" fillId="26" borderId="9" xfId="2" applyFont="1" applyFill="1" applyBorder="1" applyAlignment="1" applyProtection="1">
      <alignment horizontal="center" vertical="center"/>
      <protection locked="0"/>
    </xf>
    <xf numFmtId="0" fontId="36" fillId="26" borderId="10" xfId="2" applyFont="1" applyFill="1" applyBorder="1" applyAlignment="1" applyProtection="1">
      <alignment horizontal="center" vertical="center"/>
      <protection locked="0"/>
    </xf>
    <xf numFmtId="0" fontId="36" fillId="26" borderId="11" xfId="2" applyFont="1" applyFill="1" applyBorder="1" applyAlignment="1" applyProtection="1">
      <alignment horizontal="center" vertical="center"/>
      <protection locked="0"/>
    </xf>
    <xf numFmtId="0" fontId="36" fillId="26" borderId="12" xfId="2" applyFont="1" applyFill="1" applyBorder="1" applyAlignment="1" applyProtection="1">
      <alignment horizontal="center" vertical="center"/>
      <protection locked="0"/>
    </xf>
    <xf numFmtId="0" fontId="36" fillId="26" borderId="13" xfId="2" applyFont="1" applyFill="1" applyBorder="1" applyAlignment="1" applyProtection="1">
      <alignment horizontal="center" vertical="center"/>
      <protection locked="0"/>
    </xf>
    <xf numFmtId="0" fontId="36" fillId="26" borderId="14" xfId="2" applyFont="1" applyFill="1" applyBorder="1" applyAlignment="1" applyProtection="1">
      <alignment horizontal="center" vertical="center"/>
      <protection locked="0"/>
    </xf>
    <xf numFmtId="0" fontId="15" fillId="6" borderId="9" xfId="2" applyFont="1" applyFill="1" applyBorder="1" applyAlignment="1" applyProtection="1">
      <alignment horizontal="center" vertical="center"/>
      <protection locked="0"/>
    </xf>
    <xf numFmtId="0" fontId="15" fillId="6" borderId="10" xfId="2" applyFont="1" applyFill="1" applyBorder="1" applyAlignment="1" applyProtection="1">
      <alignment horizontal="center" vertical="center"/>
      <protection locked="0"/>
    </xf>
    <xf numFmtId="0" fontId="15" fillId="6" borderId="11" xfId="2" applyFont="1" applyFill="1" applyBorder="1" applyAlignment="1" applyProtection="1">
      <alignment horizontal="center" vertical="center"/>
      <protection locked="0"/>
    </xf>
    <xf numFmtId="0" fontId="15" fillId="6" borderId="12" xfId="2" applyFont="1" applyFill="1" applyBorder="1" applyAlignment="1" applyProtection="1">
      <alignment horizontal="center" vertical="center"/>
      <protection locked="0"/>
    </xf>
    <xf numFmtId="0" fontId="15" fillId="6" borderId="13" xfId="2" applyFont="1" applyFill="1" applyBorder="1" applyAlignment="1" applyProtection="1">
      <alignment horizontal="center" vertical="center"/>
      <protection locked="0"/>
    </xf>
    <xf numFmtId="0" fontId="15" fillId="6" borderId="14" xfId="2" applyFont="1" applyFill="1" applyBorder="1" applyAlignment="1" applyProtection="1">
      <alignment horizontal="center" vertical="center"/>
      <protection locked="0"/>
    </xf>
    <xf numFmtId="0" fontId="111" fillId="4" borderId="9" xfId="2" applyFont="1" applyFill="1" applyBorder="1" applyAlignment="1" applyProtection="1">
      <alignment horizontal="center" vertical="center"/>
      <protection locked="0"/>
    </xf>
    <xf numFmtId="0" fontId="111" fillId="4" borderId="10" xfId="2" applyFont="1" applyFill="1" applyBorder="1" applyAlignment="1" applyProtection="1">
      <alignment horizontal="center" vertical="center"/>
      <protection locked="0"/>
    </xf>
    <xf numFmtId="0" fontId="111" fillId="4" borderId="11" xfId="2" applyFont="1" applyFill="1" applyBorder="1" applyAlignment="1" applyProtection="1">
      <alignment horizontal="center" vertical="center"/>
      <protection locked="0"/>
    </xf>
    <xf numFmtId="0" fontId="111" fillId="4" borderId="12" xfId="2" applyFont="1" applyFill="1" applyBorder="1" applyAlignment="1" applyProtection="1">
      <alignment horizontal="center" vertical="center"/>
      <protection locked="0"/>
    </xf>
    <xf numFmtId="0" fontId="111" fillId="4" borderId="13" xfId="2" applyFont="1" applyFill="1" applyBorder="1" applyAlignment="1" applyProtection="1">
      <alignment horizontal="center" vertical="center"/>
      <protection locked="0"/>
    </xf>
    <xf numFmtId="0" fontId="111" fillId="4" borderId="14" xfId="2" applyFont="1" applyFill="1" applyBorder="1" applyAlignment="1" applyProtection="1">
      <alignment horizontal="center" vertical="center"/>
      <protection locked="0"/>
    </xf>
    <xf numFmtId="0" fontId="101" fillId="0" borderId="0" xfId="0" applyFont="1" applyAlignment="1">
      <alignment horizontal="center" vertical="center" wrapText="1"/>
    </xf>
    <xf numFmtId="0" fontId="99" fillId="0" borderId="0" xfId="0" applyFont="1" applyAlignment="1">
      <alignment horizontal="center" vertical="top" wrapText="1"/>
    </xf>
    <xf numFmtId="0" fontId="41" fillId="16" borderId="60" xfId="0" applyFont="1" applyFill="1" applyBorder="1" applyAlignment="1">
      <alignment horizontal="left"/>
    </xf>
    <xf numFmtId="0" fontId="41" fillId="16" borderId="61" xfId="0" applyFont="1" applyFill="1" applyBorder="1" applyAlignment="1">
      <alignment horizontal="left"/>
    </xf>
    <xf numFmtId="0" fontId="41" fillId="16" borderId="62" xfId="0" applyFont="1" applyFill="1" applyBorder="1" applyAlignment="1">
      <alignment horizontal="left"/>
    </xf>
    <xf numFmtId="0" fontId="100" fillId="0" borderId="0" xfId="0" applyFont="1" applyAlignment="1">
      <alignment horizontal="center" vertical="center"/>
    </xf>
    <xf numFmtId="0" fontId="112" fillId="0" borderId="50" xfId="0" applyFont="1" applyBorder="1" applyAlignment="1" applyProtection="1">
      <alignment horizontal="center"/>
      <protection locked="0"/>
    </xf>
    <xf numFmtId="0" fontId="65" fillId="0" borderId="10" xfId="0" applyFont="1" applyBorder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102" fillId="0" borderId="10" xfId="0" applyFont="1" applyBorder="1" applyAlignment="1">
      <alignment horizontal="center"/>
    </xf>
    <xf numFmtId="0" fontId="103" fillId="0" borderId="0" xfId="0" applyFont="1" applyAlignment="1">
      <alignment horizontal="center"/>
    </xf>
    <xf numFmtId="0" fontId="53" fillId="0" borderId="0" xfId="0" applyFont="1" applyAlignment="1">
      <alignment horizontal="left" vertical="center"/>
    </xf>
    <xf numFmtId="0" fontId="41" fillId="18" borderId="60" xfId="0" applyFont="1" applyFill="1" applyBorder="1" applyAlignment="1">
      <alignment horizontal="left"/>
    </xf>
    <xf numFmtId="0" fontId="41" fillId="18" borderId="61" xfId="0" applyFont="1" applyFill="1" applyBorder="1" applyAlignment="1">
      <alignment horizontal="left"/>
    </xf>
    <xf numFmtId="0" fontId="19" fillId="26" borderId="6" xfId="2" applyFont="1" applyFill="1" applyBorder="1" applyAlignment="1" applyProtection="1">
      <alignment horizontal="center" vertical="center"/>
      <protection locked="0"/>
    </xf>
    <xf numFmtId="0" fontId="90" fillId="26" borderId="6" xfId="2" applyFont="1" applyFill="1" applyBorder="1" applyAlignment="1" applyProtection="1">
      <alignment horizontal="center" vertical="center" wrapText="1"/>
      <protection locked="0"/>
    </xf>
    <xf numFmtId="0" fontId="89" fillId="0" borderId="10" xfId="0" applyFont="1" applyBorder="1" applyAlignment="1" applyProtection="1">
      <alignment horizontal="center" wrapText="1"/>
      <protection locked="0"/>
    </xf>
    <xf numFmtId="0" fontId="89" fillId="0" borderId="13" xfId="0" applyFont="1" applyBorder="1" applyAlignment="1" applyProtection="1">
      <alignment horizontal="center" wrapText="1"/>
      <protection locked="0"/>
    </xf>
    <xf numFmtId="0" fontId="93" fillId="26" borderId="9" xfId="0" applyFont="1" applyFill="1" applyBorder="1" applyAlignment="1">
      <alignment horizontal="center" vertical="center"/>
    </xf>
    <xf numFmtId="0" fontId="93" fillId="26" borderId="10" xfId="0" applyFont="1" applyFill="1" applyBorder="1" applyAlignment="1">
      <alignment horizontal="center" vertical="center"/>
    </xf>
    <xf numFmtId="0" fontId="93" fillId="26" borderId="11" xfId="0" applyFont="1" applyFill="1" applyBorder="1" applyAlignment="1">
      <alignment horizontal="center" vertical="center"/>
    </xf>
    <xf numFmtId="0" fontId="93" fillId="26" borderId="12" xfId="0" applyFont="1" applyFill="1" applyBorder="1" applyAlignment="1">
      <alignment horizontal="center" vertical="center"/>
    </xf>
    <xf numFmtId="0" fontId="93" fillId="26" borderId="13" xfId="0" applyFont="1" applyFill="1" applyBorder="1" applyAlignment="1">
      <alignment horizontal="center" vertical="center"/>
    </xf>
    <xf numFmtId="0" fontId="93" fillId="26" borderId="14" xfId="0" applyFont="1" applyFill="1" applyBorder="1" applyAlignment="1">
      <alignment horizontal="center" vertical="center"/>
    </xf>
    <xf numFmtId="0" fontId="12" fillId="0" borderId="16" xfId="0" applyFont="1" applyBorder="1" applyAlignment="1" applyProtection="1">
      <alignment horizontal="left" vertical="center"/>
      <protection hidden="1"/>
    </xf>
    <xf numFmtId="0" fontId="12" fillId="0" borderId="17" xfId="0" applyFont="1" applyBorder="1" applyAlignment="1" applyProtection="1">
      <alignment horizontal="left" vertical="center"/>
      <protection hidden="1"/>
    </xf>
    <xf numFmtId="0" fontId="12" fillId="0" borderId="25" xfId="0" applyFont="1" applyBorder="1" applyAlignment="1" applyProtection="1">
      <alignment horizontal="left" vertical="center"/>
      <protection hidden="1"/>
    </xf>
    <xf numFmtId="0" fontId="12" fillId="0" borderId="29" xfId="0" applyFont="1" applyBorder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12" fillId="0" borderId="15" xfId="0" applyFont="1" applyBorder="1" applyAlignment="1" applyProtection="1">
      <alignment horizontal="left" vertical="center"/>
      <protection hidden="1"/>
    </xf>
    <xf numFmtId="0" fontId="12" fillId="0" borderId="22" xfId="0" applyFont="1" applyBorder="1" applyAlignment="1" applyProtection="1">
      <alignment horizontal="left" vertical="center"/>
      <protection hidden="1"/>
    </xf>
    <xf numFmtId="0" fontId="12" fillId="0" borderId="1" xfId="0" applyFont="1" applyBorder="1" applyAlignment="1" applyProtection="1">
      <alignment horizontal="left" vertical="center"/>
      <protection hidden="1"/>
    </xf>
    <xf numFmtId="0" fontId="12" fillId="0" borderId="26" xfId="0" applyFont="1" applyBorder="1" applyAlignment="1" applyProtection="1">
      <alignment horizontal="left" vertical="center"/>
      <protection hidden="1"/>
    </xf>
    <xf numFmtId="1" fontId="16" fillId="6" borderId="6" xfId="0" applyNumberFormat="1" applyFont="1" applyFill="1" applyBorder="1" applyAlignment="1" applyProtection="1">
      <alignment horizontal="center" wrapText="1"/>
      <protection hidden="1"/>
    </xf>
    <xf numFmtId="0" fontId="88" fillId="4" borderId="9" xfId="2" applyFont="1" applyFill="1" applyBorder="1" applyAlignment="1" applyProtection="1">
      <alignment horizontal="center" vertical="center"/>
      <protection locked="0"/>
    </xf>
    <xf numFmtId="0" fontId="88" fillId="4" borderId="10" xfId="2" applyFont="1" applyFill="1" applyBorder="1" applyAlignment="1" applyProtection="1">
      <alignment horizontal="center" vertical="center"/>
      <protection locked="0"/>
    </xf>
    <xf numFmtId="0" fontId="88" fillId="4" borderId="11" xfId="2" applyFont="1" applyFill="1" applyBorder="1" applyAlignment="1" applyProtection="1">
      <alignment horizontal="center" vertical="center"/>
      <protection locked="0"/>
    </xf>
    <xf numFmtId="0" fontId="88" fillId="4" borderId="12" xfId="2" applyFont="1" applyFill="1" applyBorder="1" applyAlignment="1" applyProtection="1">
      <alignment horizontal="center" vertical="center"/>
      <protection locked="0"/>
    </xf>
    <xf numFmtId="0" fontId="88" fillId="4" borderId="13" xfId="2" applyFont="1" applyFill="1" applyBorder="1" applyAlignment="1" applyProtection="1">
      <alignment horizontal="center" vertical="center"/>
      <protection locked="0"/>
    </xf>
    <xf numFmtId="0" fontId="88" fillId="4" borderId="14" xfId="2" applyFont="1" applyFill="1" applyBorder="1" applyAlignment="1" applyProtection="1">
      <alignment horizontal="center" vertical="center"/>
      <protection locked="0"/>
    </xf>
    <xf numFmtId="2" fontId="94" fillId="26" borderId="10" xfId="0" applyNumberFormat="1" applyFont="1" applyFill="1" applyBorder="1" applyAlignment="1">
      <alignment horizontal="center" vertical="center"/>
    </xf>
    <xf numFmtId="2" fontId="94" fillId="26" borderId="11" xfId="0" applyNumberFormat="1" applyFont="1" applyFill="1" applyBorder="1" applyAlignment="1">
      <alignment horizontal="center" vertical="center"/>
    </xf>
    <xf numFmtId="2" fontId="94" fillId="26" borderId="0" xfId="0" applyNumberFormat="1" applyFont="1" applyFill="1" applyAlignment="1">
      <alignment horizontal="center" vertical="center"/>
    </xf>
    <xf numFmtId="2" fontId="94" fillId="26" borderId="40" xfId="0" applyNumberFormat="1" applyFont="1" applyFill="1" applyBorder="1" applyAlignment="1">
      <alignment horizontal="center" vertical="center"/>
    </xf>
    <xf numFmtId="2" fontId="94" fillId="26" borderId="13" xfId="0" applyNumberFormat="1" applyFont="1" applyFill="1" applyBorder="1" applyAlignment="1">
      <alignment horizontal="center" vertical="center"/>
    </xf>
    <xf numFmtId="2" fontId="94" fillId="26" borderId="14" xfId="0" applyNumberFormat="1" applyFont="1" applyFill="1" applyBorder="1" applyAlignment="1">
      <alignment horizontal="center" vertical="center"/>
    </xf>
    <xf numFmtId="2" fontId="94" fillId="26" borderId="9" xfId="0" applyNumberFormat="1" applyFont="1" applyFill="1" applyBorder="1" applyAlignment="1">
      <alignment horizontal="center" vertical="center"/>
    </xf>
    <xf numFmtId="2" fontId="94" fillId="26" borderId="59" xfId="0" applyNumberFormat="1" applyFont="1" applyFill="1" applyBorder="1" applyAlignment="1">
      <alignment horizontal="center" vertical="center"/>
    </xf>
    <xf numFmtId="2" fontId="94" fillId="26" borderId="12" xfId="0" applyNumberFormat="1" applyFont="1" applyFill="1" applyBorder="1" applyAlignment="1">
      <alignment horizontal="center" vertical="center"/>
    </xf>
    <xf numFmtId="0" fontId="91" fillId="6" borderId="78" xfId="0" applyFont="1" applyFill="1" applyBorder="1" applyAlignment="1">
      <alignment horizontal="center"/>
    </xf>
    <xf numFmtId="0" fontId="91" fillId="6" borderId="79" xfId="0" applyFont="1" applyFill="1" applyBorder="1" applyAlignment="1">
      <alignment horizontal="center"/>
    </xf>
    <xf numFmtId="0" fontId="91" fillId="6" borderId="80" xfId="0" applyFont="1" applyFill="1" applyBorder="1" applyAlignment="1">
      <alignment horizontal="center"/>
    </xf>
    <xf numFmtId="0" fontId="91" fillId="6" borderId="65" xfId="0" applyFont="1" applyFill="1" applyBorder="1" applyAlignment="1">
      <alignment horizontal="center"/>
    </xf>
    <xf numFmtId="0" fontId="91" fillId="6" borderId="66" xfId="0" applyFont="1" applyFill="1" applyBorder="1" applyAlignment="1">
      <alignment horizontal="center"/>
    </xf>
    <xf numFmtId="0" fontId="91" fillId="6" borderId="57" xfId="0" applyFont="1" applyFill="1" applyBorder="1" applyAlignment="1">
      <alignment horizontal="center"/>
    </xf>
    <xf numFmtId="0" fontId="92" fillId="6" borderId="9" xfId="0" applyFont="1" applyFill="1" applyBorder="1" applyAlignment="1">
      <alignment horizontal="center" vertical="center"/>
    </xf>
    <xf numFmtId="0" fontId="92" fillId="6" borderId="10" xfId="0" applyFont="1" applyFill="1" applyBorder="1" applyAlignment="1">
      <alignment horizontal="center" vertical="center"/>
    </xf>
    <xf numFmtId="0" fontId="92" fillId="6" borderId="11" xfId="0" applyFont="1" applyFill="1" applyBorder="1" applyAlignment="1">
      <alignment horizontal="center" vertical="center"/>
    </xf>
    <xf numFmtId="0" fontId="92" fillId="6" borderId="12" xfId="0" applyFont="1" applyFill="1" applyBorder="1" applyAlignment="1">
      <alignment horizontal="center" vertical="center"/>
    </xf>
    <xf numFmtId="0" fontId="92" fillId="6" borderId="13" xfId="0" applyFont="1" applyFill="1" applyBorder="1" applyAlignment="1">
      <alignment horizontal="center" vertical="center"/>
    </xf>
    <xf numFmtId="0" fontId="92" fillId="6" borderId="14" xfId="0" applyFont="1" applyFill="1" applyBorder="1" applyAlignment="1">
      <alignment horizontal="center" vertical="center"/>
    </xf>
    <xf numFmtId="0" fontId="69" fillId="19" borderId="59" xfId="0" applyFont="1" applyFill="1" applyBorder="1" applyAlignment="1">
      <alignment horizontal="center" vertical="center"/>
    </xf>
    <xf numFmtId="0" fontId="69" fillId="19" borderId="0" xfId="0" applyFont="1" applyFill="1" applyAlignment="1">
      <alignment horizontal="center" vertical="center"/>
    </xf>
    <xf numFmtId="0" fontId="69" fillId="19" borderId="40" xfId="0" applyFont="1" applyFill="1" applyBorder="1" applyAlignment="1">
      <alignment horizontal="center" vertical="center"/>
    </xf>
    <xf numFmtId="0" fontId="69" fillId="19" borderId="12" xfId="0" applyFont="1" applyFill="1" applyBorder="1" applyAlignment="1">
      <alignment horizontal="center" vertical="center"/>
    </xf>
    <xf numFmtId="0" fontId="69" fillId="19" borderId="13" xfId="0" applyFont="1" applyFill="1" applyBorder="1" applyAlignment="1">
      <alignment horizontal="center" vertical="center"/>
    </xf>
    <xf numFmtId="0" fontId="69" fillId="19" borderId="1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7" fillId="16" borderId="3" xfId="0" applyFont="1" applyFill="1" applyBorder="1" applyAlignment="1" applyProtection="1">
      <alignment horizontal="left"/>
      <protection hidden="1"/>
    </xf>
    <xf numFmtId="0" fontId="67" fillId="16" borderId="4" xfId="0" applyFont="1" applyFill="1" applyBorder="1" applyAlignment="1" applyProtection="1">
      <alignment horizontal="left"/>
      <protection hidden="1"/>
    </xf>
    <xf numFmtId="0" fontId="67" fillId="16" borderId="5" xfId="0" applyFont="1" applyFill="1" applyBorder="1" applyAlignment="1" applyProtection="1">
      <alignment horizontal="left"/>
      <protection hidden="1"/>
    </xf>
    <xf numFmtId="49" fontId="16" fillId="9" borderId="22" xfId="0" applyNumberFormat="1" applyFont="1" applyFill="1" applyBorder="1" applyAlignment="1" applyProtection="1">
      <alignment horizontal="center"/>
      <protection locked="0" hidden="1"/>
    </xf>
    <xf numFmtId="49" fontId="16" fillId="9" borderId="1" xfId="0" applyNumberFormat="1" applyFont="1" applyFill="1" applyBorder="1" applyAlignment="1" applyProtection="1">
      <alignment horizontal="center"/>
      <protection locked="0" hidden="1"/>
    </xf>
    <xf numFmtId="49" fontId="16" fillId="9" borderId="26" xfId="0" applyNumberFormat="1" applyFont="1" applyFill="1" applyBorder="1" applyAlignment="1" applyProtection="1">
      <alignment horizontal="center"/>
      <protection locked="0" hidden="1"/>
    </xf>
    <xf numFmtId="2" fontId="21" fillId="9" borderId="3" xfId="0" applyNumberFormat="1" applyFont="1" applyFill="1" applyBorder="1" applyAlignment="1" applyProtection="1">
      <alignment horizontal="center"/>
      <protection hidden="1"/>
    </xf>
    <xf numFmtId="2" fontId="21" fillId="9" borderId="4" xfId="0" applyNumberFormat="1" applyFont="1" applyFill="1" applyBorder="1" applyAlignment="1" applyProtection="1">
      <alignment horizontal="center"/>
      <protection hidden="1"/>
    </xf>
    <xf numFmtId="2" fontId="16" fillId="16" borderId="3" xfId="0" applyNumberFormat="1" applyFont="1" applyFill="1" applyBorder="1" applyAlignment="1" applyProtection="1">
      <alignment horizontal="center"/>
      <protection hidden="1"/>
    </xf>
    <xf numFmtId="2" fontId="16" fillId="16" borderId="4" xfId="0" applyNumberFormat="1" applyFont="1" applyFill="1" applyBorder="1" applyAlignment="1" applyProtection="1">
      <alignment horizontal="center"/>
      <protection hidden="1"/>
    </xf>
    <xf numFmtId="0" fontId="16" fillId="16" borderId="4" xfId="0" applyFont="1" applyFill="1" applyBorder="1" applyAlignment="1" applyProtection="1">
      <alignment horizontal="center"/>
      <protection hidden="1"/>
    </xf>
    <xf numFmtId="0" fontId="0" fillId="0" borderId="29" xfId="0" applyBorder="1" applyAlignment="1">
      <alignment horizontal="center"/>
    </xf>
    <xf numFmtId="0" fontId="69" fillId="6" borderId="9" xfId="0" applyFont="1" applyFill="1" applyBorder="1" applyAlignment="1">
      <alignment horizontal="center" vertical="center"/>
    </xf>
    <xf numFmtId="0" fontId="69" fillId="6" borderId="10" xfId="0" applyFont="1" applyFill="1" applyBorder="1" applyAlignment="1">
      <alignment horizontal="center" vertical="center"/>
    </xf>
    <xf numFmtId="0" fontId="69" fillId="6" borderId="11" xfId="0" applyFont="1" applyFill="1" applyBorder="1" applyAlignment="1">
      <alignment horizontal="center" vertical="center"/>
    </xf>
    <xf numFmtId="49" fontId="5" fillId="9" borderId="3" xfId="0" applyNumberFormat="1" applyFont="1" applyFill="1" applyBorder="1" applyAlignment="1" applyProtection="1">
      <alignment horizontal="center"/>
      <protection locked="0" hidden="1"/>
    </xf>
    <xf numFmtId="49" fontId="0" fillId="9" borderId="4" xfId="0" applyNumberFormat="1" applyFill="1" applyBorder="1" applyAlignment="1" applyProtection="1">
      <alignment horizontal="center"/>
      <protection locked="0" hidden="1"/>
    </xf>
    <xf numFmtId="49" fontId="0" fillId="9" borderId="5" xfId="0" applyNumberFormat="1" applyFill="1" applyBorder="1" applyAlignment="1" applyProtection="1">
      <alignment horizontal="center"/>
      <protection locked="0" hidden="1"/>
    </xf>
    <xf numFmtId="49" fontId="5" fillId="9" borderId="22" xfId="0" applyNumberFormat="1" applyFont="1" applyFill="1" applyBorder="1" applyAlignment="1" applyProtection="1">
      <alignment horizontal="center"/>
      <protection locked="0" hidden="1"/>
    </xf>
    <xf numFmtId="49" fontId="0" fillId="9" borderId="1" xfId="0" applyNumberFormat="1" applyFill="1" applyBorder="1" applyAlignment="1" applyProtection="1">
      <alignment horizontal="center"/>
      <protection locked="0" hidden="1"/>
    </xf>
    <xf numFmtId="49" fontId="0" fillId="9" borderId="26" xfId="0" applyNumberFormat="1" applyFill="1" applyBorder="1" applyAlignment="1" applyProtection="1">
      <alignment horizontal="center"/>
      <protection locked="0" hidden="1"/>
    </xf>
    <xf numFmtId="0" fontId="16" fillId="3" borderId="3" xfId="0" applyFont="1" applyFill="1" applyBorder="1" applyAlignment="1" applyProtection="1">
      <alignment horizontal="left" vertical="center"/>
      <protection hidden="1"/>
    </xf>
    <xf numFmtId="0" fontId="16" fillId="3" borderId="4" xfId="0" applyFont="1" applyFill="1" applyBorder="1" applyAlignment="1" applyProtection="1">
      <alignment horizontal="left" vertical="center"/>
      <protection hidden="1"/>
    </xf>
    <xf numFmtId="0" fontId="16" fillId="3" borderId="56" xfId="0" applyFont="1" applyFill="1" applyBorder="1" applyAlignment="1" applyProtection="1">
      <alignment horizontal="left" vertical="center"/>
      <protection hidden="1"/>
    </xf>
    <xf numFmtId="0" fontId="12" fillId="0" borderId="3" xfId="0" applyFont="1" applyBorder="1" applyAlignment="1" applyProtection="1">
      <alignment horizontal="left"/>
      <protection hidden="1"/>
    </xf>
    <xf numFmtId="0" fontId="12" fillId="0" borderId="4" xfId="0" applyFont="1" applyBorder="1" applyAlignment="1" applyProtection="1">
      <alignment horizontal="left"/>
      <protection hidden="1"/>
    </xf>
    <xf numFmtId="0" fontId="12" fillId="0" borderId="5" xfId="0" applyFont="1" applyBorder="1" applyAlignment="1" applyProtection="1">
      <alignment horizontal="left"/>
      <protection hidden="1"/>
    </xf>
    <xf numFmtId="0" fontId="16" fillId="0" borderId="3" xfId="0" applyFont="1" applyBorder="1" applyAlignment="1" applyProtection="1">
      <alignment horizontal="left"/>
      <protection hidden="1"/>
    </xf>
    <xf numFmtId="0" fontId="16" fillId="0" borderId="4" xfId="0" applyFont="1" applyBorder="1" applyAlignment="1" applyProtection="1">
      <alignment horizontal="left"/>
      <protection hidden="1"/>
    </xf>
    <xf numFmtId="0" fontId="16" fillId="0" borderId="5" xfId="0" applyFont="1" applyBorder="1" applyAlignment="1" applyProtection="1">
      <alignment horizontal="left"/>
      <protection hidden="1"/>
    </xf>
    <xf numFmtId="0" fontId="0" fillId="16" borderId="0" xfId="0" applyFill="1" applyAlignment="1">
      <alignment horizontal="center"/>
    </xf>
    <xf numFmtId="49" fontId="16" fillId="0" borderId="3" xfId="0" applyNumberFormat="1" applyFont="1" applyBorder="1" applyAlignment="1" applyProtection="1">
      <alignment horizontal="left"/>
      <protection hidden="1"/>
    </xf>
    <xf numFmtId="49" fontId="16" fillId="0" borderId="4" xfId="0" applyNumberFormat="1" applyFont="1" applyBorder="1" applyAlignment="1" applyProtection="1">
      <alignment horizontal="left"/>
      <protection hidden="1"/>
    </xf>
    <xf numFmtId="49" fontId="16" fillId="0" borderId="5" xfId="0" applyNumberFormat="1" applyFont="1" applyBorder="1" applyAlignment="1" applyProtection="1">
      <alignment horizontal="left"/>
      <protection hidden="1"/>
    </xf>
    <xf numFmtId="0" fontId="61" fillId="13" borderId="3" xfId="0" applyFont="1" applyFill="1" applyBorder="1" applyAlignment="1" applyProtection="1">
      <alignment horizontal="center"/>
      <protection hidden="1"/>
    </xf>
    <xf numFmtId="0" fontId="61" fillId="13" borderId="4" xfId="0" applyFont="1" applyFill="1" applyBorder="1" applyAlignment="1" applyProtection="1">
      <alignment horizontal="center"/>
      <protection hidden="1"/>
    </xf>
    <xf numFmtId="0" fontId="61" fillId="13" borderId="5" xfId="0" applyFont="1" applyFill="1" applyBorder="1" applyAlignment="1" applyProtection="1">
      <alignment horizontal="center"/>
      <protection hidden="1"/>
    </xf>
    <xf numFmtId="9" fontId="74" fillId="25" borderId="16" xfId="3" applyNumberFormat="1" applyFont="1" applyBorder="1" applyAlignment="1" applyProtection="1">
      <alignment horizontal="center"/>
      <protection hidden="1"/>
    </xf>
    <xf numFmtId="9" fontId="74" fillId="25" borderId="17" xfId="3" applyNumberFormat="1" applyFont="1" applyBorder="1" applyAlignment="1" applyProtection="1">
      <alignment horizontal="center"/>
      <protection hidden="1"/>
    </xf>
    <xf numFmtId="9" fontId="74" fillId="25" borderId="25" xfId="3" applyNumberFormat="1" applyFont="1" applyBorder="1" applyAlignment="1" applyProtection="1">
      <alignment horizontal="center"/>
      <protection hidden="1"/>
    </xf>
    <xf numFmtId="49" fontId="16" fillId="0" borderId="3" xfId="0" quotePrefix="1" applyNumberFormat="1" applyFont="1" applyBorder="1" applyAlignment="1" applyProtection="1">
      <alignment horizontal="center"/>
      <protection hidden="1"/>
    </xf>
    <xf numFmtId="49" fontId="16" fillId="0" borderId="4" xfId="0" applyNumberFormat="1" applyFont="1" applyBorder="1" applyAlignment="1" applyProtection="1">
      <alignment horizontal="center"/>
      <protection hidden="1"/>
    </xf>
    <xf numFmtId="49" fontId="16" fillId="0" borderId="5" xfId="0" applyNumberFormat="1" applyFont="1" applyBorder="1" applyAlignment="1" applyProtection="1">
      <alignment horizontal="center"/>
      <protection hidden="1"/>
    </xf>
    <xf numFmtId="49" fontId="16" fillId="0" borderId="3" xfId="0" applyNumberFormat="1" applyFont="1" applyBorder="1" applyAlignment="1" applyProtection="1">
      <alignment horizontal="center"/>
      <protection hidden="1"/>
    </xf>
    <xf numFmtId="0" fontId="12" fillId="6" borderId="6" xfId="0" applyFont="1" applyFill="1" applyBorder="1" applyAlignment="1">
      <alignment horizontal="center"/>
    </xf>
    <xf numFmtId="0" fontId="23" fillId="9" borderId="6" xfId="0" applyFont="1" applyFill="1" applyBorder="1" applyAlignment="1" applyProtection="1">
      <alignment horizontal="center"/>
      <protection locked="0" hidden="1"/>
    </xf>
    <xf numFmtId="0" fontId="66" fillId="6" borderId="3" xfId="0" applyFont="1" applyFill="1" applyBorder="1" applyAlignment="1">
      <alignment horizontal="center" vertical="center"/>
    </xf>
    <xf numFmtId="0" fontId="66" fillId="6" borderId="4" xfId="0" applyFont="1" applyFill="1" applyBorder="1" applyAlignment="1">
      <alignment horizontal="center" vertical="center"/>
    </xf>
    <xf numFmtId="0" fontId="76" fillId="9" borderId="3" xfId="3" applyFont="1" applyFill="1" applyBorder="1" applyAlignment="1">
      <alignment horizontal="center" vertical="center"/>
    </xf>
    <xf numFmtId="0" fontId="76" fillId="9" borderId="4" xfId="3" applyFont="1" applyFill="1" applyBorder="1" applyAlignment="1">
      <alignment horizontal="center" vertical="center"/>
    </xf>
    <xf numFmtId="0" fontId="76" fillId="9" borderId="5" xfId="3" applyFont="1" applyFill="1" applyBorder="1" applyAlignment="1">
      <alignment horizontal="center" vertical="center"/>
    </xf>
    <xf numFmtId="0" fontId="12" fillId="0" borderId="3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2" fillId="0" borderId="5" xfId="0" applyFont="1" applyBorder="1" applyAlignment="1">
      <alignment horizontal="left"/>
    </xf>
    <xf numFmtId="9" fontId="74" fillId="25" borderId="3" xfId="3" applyNumberFormat="1" applyFont="1" applyBorder="1" applyAlignment="1" applyProtection="1">
      <alignment horizontal="center"/>
      <protection hidden="1"/>
    </xf>
    <xf numFmtId="9" fontId="74" fillId="25" borderId="4" xfId="3" applyNumberFormat="1" applyFont="1" applyBorder="1" applyAlignment="1" applyProtection="1">
      <alignment horizontal="center"/>
      <protection hidden="1"/>
    </xf>
    <xf numFmtId="9" fontId="74" fillId="25" borderId="5" xfId="3" applyNumberFormat="1" applyFont="1" applyBorder="1" applyAlignment="1" applyProtection="1">
      <alignment horizontal="center"/>
      <protection hidden="1"/>
    </xf>
    <xf numFmtId="0" fontId="16" fillId="23" borderId="3" xfId="0" applyFont="1" applyFill="1" applyBorder="1" applyAlignment="1" applyProtection="1">
      <alignment horizontal="center"/>
      <protection hidden="1"/>
    </xf>
    <xf numFmtId="0" fontId="16" fillId="23" borderId="4" xfId="0" applyFont="1" applyFill="1" applyBorder="1" applyAlignment="1" applyProtection="1">
      <alignment horizontal="center"/>
      <protection hidden="1"/>
    </xf>
    <xf numFmtId="0" fontId="16" fillId="23" borderId="5" xfId="0" applyFont="1" applyFill="1" applyBorder="1" applyAlignment="1" applyProtection="1">
      <alignment horizontal="center"/>
      <protection hidden="1"/>
    </xf>
    <xf numFmtId="1" fontId="16" fillId="0" borderId="22" xfId="0" applyNumberFormat="1" applyFont="1" applyBorder="1" applyAlignment="1" applyProtection="1">
      <alignment horizontal="center"/>
      <protection locked="0" hidden="1"/>
    </xf>
    <xf numFmtId="1" fontId="16" fillId="0" borderId="1" xfId="0" applyNumberFormat="1" applyFont="1" applyBorder="1" applyAlignment="1" applyProtection="1">
      <alignment horizontal="center"/>
      <protection locked="0" hidden="1"/>
    </xf>
    <xf numFmtId="1" fontId="16" fillId="0" borderId="26" xfId="0" applyNumberFormat="1" applyFont="1" applyBorder="1" applyAlignment="1" applyProtection="1">
      <alignment horizontal="center"/>
      <protection locked="0" hidden="1"/>
    </xf>
    <xf numFmtId="1" fontId="65" fillId="9" borderId="3" xfId="0" applyNumberFormat="1" applyFont="1" applyFill="1" applyBorder="1" applyAlignment="1" applyProtection="1">
      <alignment horizontal="center"/>
      <protection locked="0" hidden="1"/>
    </xf>
    <xf numFmtId="0" fontId="23" fillId="9" borderId="4" xfId="0" applyFont="1" applyFill="1" applyBorder="1" applyProtection="1">
      <protection locked="0"/>
    </xf>
    <xf numFmtId="0" fontId="23" fillId="9" borderId="5" xfId="0" applyFont="1" applyFill="1" applyBorder="1" applyProtection="1">
      <protection locked="0"/>
    </xf>
    <xf numFmtId="0" fontId="16" fillId="6" borderId="3" xfId="0" applyFont="1" applyFill="1" applyBorder="1" applyAlignment="1" applyProtection="1">
      <alignment horizontal="center"/>
      <protection hidden="1"/>
    </xf>
    <xf numFmtId="0" fontId="16" fillId="6" borderId="4" xfId="0" applyFont="1" applyFill="1" applyBorder="1" applyAlignment="1" applyProtection="1">
      <alignment horizontal="center"/>
      <protection hidden="1"/>
    </xf>
    <xf numFmtId="0" fontId="16" fillId="6" borderId="5" xfId="0" applyFont="1" applyFill="1" applyBorder="1" applyAlignment="1" applyProtection="1">
      <alignment horizontal="center"/>
      <protection hidden="1"/>
    </xf>
    <xf numFmtId="1" fontId="16" fillId="0" borderId="3" xfId="0" applyNumberFormat="1" applyFont="1" applyBorder="1" applyAlignment="1" applyProtection="1">
      <alignment horizontal="center"/>
      <protection hidden="1"/>
    </xf>
    <xf numFmtId="1" fontId="16" fillId="0" borderId="4" xfId="0" applyNumberFormat="1" applyFont="1" applyBorder="1" applyAlignment="1" applyProtection="1">
      <alignment horizontal="center"/>
      <protection hidden="1"/>
    </xf>
    <xf numFmtId="1" fontId="16" fillId="0" borderId="5" xfId="0" applyNumberFormat="1" applyFont="1" applyBorder="1" applyAlignment="1" applyProtection="1">
      <alignment horizontal="center"/>
      <protection hidden="1"/>
    </xf>
    <xf numFmtId="0" fontId="0" fillId="0" borderId="4" xfId="0" applyBorder="1"/>
    <xf numFmtId="0" fontId="0" fillId="0" borderId="5" xfId="0" applyBorder="1"/>
    <xf numFmtId="0" fontId="16" fillId="0" borderId="3" xfId="0" applyFont="1" applyBorder="1" applyAlignment="1" applyProtection="1">
      <alignment horizontal="center"/>
      <protection locked="0" hidden="1"/>
    </xf>
    <xf numFmtId="0" fontId="16" fillId="0" borderId="4" xfId="0" applyFont="1" applyBorder="1" applyAlignment="1" applyProtection="1">
      <alignment horizontal="center"/>
      <protection locked="0" hidden="1"/>
    </xf>
    <xf numFmtId="0" fontId="16" fillId="0" borderId="5" xfId="0" applyFont="1" applyBorder="1" applyAlignment="1" applyProtection="1">
      <alignment horizontal="center"/>
      <protection locked="0" hidden="1"/>
    </xf>
    <xf numFmtId="1" fontId="65" fillId="23" borderId="3" xfId="0" applyNumberFormat="1" applyFont="1" applyFill="1" applyBorder="1" applyAlignment="1" applyProtection="1">
      <alignment horizontal="center" vertical="center"/>
      <protection hidden="1"/>
    </xf>
    <xf numFmtId="1" fontId="65" fillId="23" borderId="4" xfId="0" applyNumberFormat="1" applyFont="1" applyFill="1" applyBorder="1" applyAlignment="1" applyProtection="1">
      <alignment horizontal="center" vertical="center"/>
      <protection hidden="1"/>
    </xf>
    <xf numFmtId="0" fontId="73" fillId="25" borderId="3" xfId="3" applyBorder="1" applyAlignment="1" applyProtection="1">
      <alignment horizontal="center" vertical="center"/>
      <protection hidden="1"/>
    </xf>
    <xf numFmtId="0" fontId="73" fillId="25" borderId="4" xfId="3" applyBorder="1" applyAlignment="1" applyProtection="1">
      <alignment horizontal="center" vertical="center"/>
      <protection hidden="1"/>
    </xf>
    <xf numFmtId="0" fontId="73" fillId="25" borderId="1" xfId="3" applyBorder="1" applyAlignment="1" applyProtection="1">
      <alignment horizontal="center" vertical="center"/>
      <protection hidden="1"/>
    </xf>
    <xf numFmtId="0" fontId="73" fillId="25" borderId="26" xfId="3" applyBorder="1" applyAlignment="1" applyProtection="1">
      <alignment horizontal="center" vertical="center"/>
      <protection hidden="1"/>
    </xf>
    <xf numFmtId="0" fontId="73" fillId="25" borderId="22" xfId="3" applyBorder="1" applyAlignment="1" applyProtection="1">
      <alignment horizontal="center" vertical="center"/>
      <protection hidden="1"/>
    </xf>
    <xf numFmtId="1" fontId="16" fillId="24" borderId="3" xfId="0" applyNumberFormat="1" applyFont="1" applyFill="1" applyBorder="1" applyAlignment="1" applyProtection="1">
      <alignment horizontal="center"/>
      <protection locked="0" hidden="1"/>
    </xf>
    <xf numFmtId="1" fontId="16" fillId="24" borderId="4" xfId="0" applyNumberFormat="1" applyFont="1" applyFill="1" applyBorder="1" applyAlignment="1" applyProtection="1">
      <alignment horizontal="center"/>
      <protection locked="0" hidden="1"/>
    </xf>
    <xf numFmtId="1" fontId="16" fillId="24" borderId="5" xfId="0" applyNumberFormat="1" applyFont="1" applyFill="1" applyBorder="1" applyAlignment="1" applyProtection="1">
      <alignment horizontal="center"/>
      <protection locked="0" hidden="1"/>
    </xf>
    <xf numFmtId="1" fontId="16" fillId="3" borderId="22" xfId="0" applyNumberFormat="1" applyFont="1" applyFill="1" applyBorder="1" applyAlignment="1" applyProtection="1">
      <alignment horizontal="center"/>
      <protection hidden="1"/>
    </xf>
    <xf numFmtId="1" fontId="16" fillId="3" borderId="1" xfId="0" applyNumberFormat="1" applyFont="1" applyFill="1" applyBorder="1" applyAlignment="1" applyProtection="1">
      <alignment horizontal="center"/>
      <protection hidden="1"/>
    </xf>
    <xf numFmtId="0" fontId="62" fillId="6" borderId="3" xfId="0" applyFont="1" applyFill="1" applyBorder="1" applyAlignment="1" applyProtection="1">
      <alignment horizontal="center"/>
      <protection hidden="1"/>
    </xf>
    <xf numFmtId="0" fontId="62" fillId="6" borderId="4" xfId="0" applyFont="1" applyFill="1" applyBorder="1" applyAlignment="1" applyProtection="1">
      <alignment horizontal="center"/>
      <protection hidden="1"/>
    </xf>
    <xf numFmtId="0" fontId="62" fillId="6" borderId="5" xfId="0" applyFont="1" applyFill="1" applyBorder="1" applyAlignment="1" applyProtection="1">
      <alignment horizontal="center"/>
      <protection hidden="1"/>
    </xf>
    <xf numFmtId="0" fontId="16" fillId="0" borderId="3" xfId="0" applyFont="1" applyBorder="1" applyAlignment="1" applyProtection="1">
      <alignment horizontal="center"/>
      <protection hidden="1"/>
    </xf>
    <xf numFmtId="0" fontId="16" fillId="0" borderId="4" xfId="0" applyFont="1" applyBorder="1" applyAlignment="1" applyProtection="1">
      <alignment horizontal="center"/>
      <protection hidden="1"/>
    </xf>
    <xf numFmtId="0" fontId="16" fillId="0" borderId="5" xfId="0" applyFont="1" applyBorder="1" applyAlignment="1" applyProtection="1">
      <alignment horizontal="center"/>
      <protection hidden="1"/>
    </xf>
    <xf numFmtId="0" fontId="64" fillId="6" borderId="3" xfId="0" applyFont="1" applyFill="1" applyBorder="1" applyAlignment="1" applyProtection="1">
      <alignment horizontal="center"/>
      <protection hidden="1"/>
    </xf>
    <xf numFmtId="0" fontId="64" fillId="6" borderId="4" xfId="0" applyFont="1" applyFill="1" applyBorder="1" applyAlignment="1" applyProtection="1">
      <alignment horizontal="center"/>
      <protection hidden="1"/>
    </xf>
    <xf numFmtId="0" fontId="72" fillId="9" borderId="6" xfId="0" applyFont="1" applyFill="1" applyBorder="1" applyAlignment="1" applyProtection="1">
      <alignment horizontal="center"/>
      <protection locked="0" hidden="1"/>
    </xf>
    <xf numFmtId="0" fontId="21" fillId="6" borderId="6" xfId="0" applyFont="1" applyFill="1" applyBorder="1" applyAlignment="1" applyProtection="1">
      <alignment horizontal="center"/>
      <protection locked="0" hidden="1"/>
    </xf>
    <xf numFmtId="0" fontId="65" fillId="0" borderId="3" xfId="4" applyFont="1" applyBorder="1" applyAlignment="1" applyProtection="1">
      <alignment horizontal="center"/>
      <protection locked="0" hidden="1"/>
    </xf>
    <xf numFmtId="0" fontId="65" fillId="0" borderId="4" xfId="4" applyFont="1" applyBorder="1" applyAlignment="1" applyProtection="1">
      <alignment horizontal="center"/>
      <protection locked="0" hidden="1"/>
    </xf>
    <xf numFmtId="0" fontId="65" fillId="0" borderId="5" xfId="4" applyFont="1" applyBorder="1" applyAlignment="1" applyProtection="1">
      <alignment horizontal="center"/>
      <protection locked="0" hidden="1"/>
    </xf>
    <xf numFmtId="0" fontId="10" fillId="6" borderId="3" xfId="0" applyFont="1" applyFill="1" applyBorder="1" applyAlignment="1" applyProtection="1">
      <alignment horizontal="center"/>
      <protection hidden="1"/>
    </xf>
    <xf numFmtId="0" fontId="10" fillId="6" borderId="4" xfId="0" applyFont="1" applyFill="1" applyBorder="1" applyAlignment="1" applyProtection="1">
      <alignment horizontal="center"/>
      <protection hidden="1"/>
    </xf>
    <xf numFmtId="0" fontId="10" fillId="6" borderId="5" xfId="0" applyFont="1" applyFill="1" applyBorder="1" applyAlignment="1" applyProtection="1">
      <alignment horizontal="center"/>
      <protection hidden="1"/>
    </xf>
    <xf numFmtId="0" fontId="63" fillId="6" borderId="3" xfId="0" applyFont="1" applyFill="1" applyBorder="1" applyAlignment="1" applyProtection="1">
      <alignment horizontal="center"/>
      <protection hidden="1"/>
    </xf>
    <xf numFmtId="0" fontId="63" fillId="6" borderId="4" xfId="0" applyFont="1" applyFill="1" applyBorder="1" applyAlignment="1" applyProtection="1">
      <alignment horizontal="center"/>
      <protection hidden="1"/>
    </xf>
    <xf numFmtId="0" fontId="63" fillId="6" borderId="5" xfId="0" applyFont="1" applyFill="1" applyBorder="1" applyAlignment="1" applyProtection="1">
      <alignment horizontal="center"/>
      <protection hidden="1"/>
    </xf>
    <xf numFmtId="0" fontId="22" fillId="0" borderId="3" xfId="0" applyFont="1" applyBorder="1" applyAlignment="1" applyProtection="1">
      <alignment horizontal="center"/>
      <protection hidden="1"/>
    </xf>
    <xf numFmtId="0" fontId="22" fillId="0" borderId="4" xfId="0" applyFont="1" applyBorder="1" applyAlignment="1" applyProtection="1">
      <alignment horizontal="center"/>
      <protection hidden="1"/>
    </xf>
    <xf numFmtId="0" fontId="22" fillId="0" borderId="26" xfId="0" applyFont="1" applyBorder="1" applyAlignment="1" applyProtection="1">
      <alignment horizontal="center"/>
      <protection hidden="1"/>
    </xf>
    <xf numFmtId="2" fontId="22" fillId="9" borderId="6" xfId="0" applyNumberFormat="1" applyFont="1" applyFill="1" applyBorder="1" applyAlignment="1" applyProtection="1">
      <alignment horizontal="center" wrapText="1"/>
      <protection locked="0" hidden="1"/>
    </xf>
    <xf numFmtId="0" fontId="22" fillId="9" borderId="6" xfId="0" applyFont="1" applyFill="1" applyBorder="1" applyAlignment="1" applyProtection="1">
      <alignment horizontal="center" wrapText="1"/>
      <protection locked="0" hidden="1"/>
    </xf>
    <xf numFmtId="0" fontId="16" fillId="3" borderId="3" xfId="0" applyFont="1" applyFill="1" applyBorder="1" applyAlignment="1" applyProtection="1">
      <alignment horizontal="center"/>
      <protection hidden="1"/>
    </xf>
    <xf numFmtId="0" fontId="16" fillId="3" borderId="4" xfId="0" applyFont="1" applyFill="1" applyBorder="1" applyAlignment="1" applyProtection="1">
      <alignment horizontal="center"/>
      <protection hidden="1"/>
    </xf>
    <xf numFmtId="0" fontId="16" fillId="3" borderId="5" xfId="0" applyFont="1" applyFill="1" applyBorder="1" applyAlignment="1" applyProtection="1">
      <alignment horizontal="center"/>
      <protection hidden="1"/>
    </xf>
    <xf numFmtId="0" fontId="5" fillId="6" borderId="3" xfId="0" applyFont="1" applyFill="1" applyBorder="1" applyAlignment="1" applyProtection="1">
      <alignment horizontal="center"/>
      <protection hidden="1"/>
    </xf>
    <xf numFmtId="0" fontId="5" fillId="6" borderId="4" xfId="0" applyFont="1" applyFill="1" applyBorder="1" applyAlignment="1" applyProtection="1">
      <alignment horizontal="center"/>
      <protection hidden="1"/>
    </xf>
    <xf numFmtId="0" fontId="5" fillId="6" borderId="5" xfId="0" applyFont="1" applyFill="1" applyBorder="1" applyAlignment="1" applyProtection="1">
      <alignment horizontal="center"/>
      <protection hidden="1"/>
    </xf>
    <xf numFmtId="0" fontId="16" fillId="3" borderId="16" xfId="0" applyFont="1" applyFill="1" applyBorder="1" applyAlignment="1" applyProtection="1">
      <alignment horizontal="center"/>
      <protection hidden="1"/>
    </xf>
    <xf numFmtId="0" fontId="16" fillId="3" borderId="17" xfId="0" applyFont="1" applyFill="1" applyBorder="1" applyAlignment="1" applyProtection="1">
      <alignment horizontal="center"/>
      <protection hidden="1"/>
    </xf>
    <xf numFmtId="0" fontId="16" fillId="3" borderId="25" xfId="0" applyFont="1" applyFill="1" applyBorder="1" applyAlignment="1" applyProtection="1">
      <alignment horizontal="center"/>
      <protection hidden="1"/>
    </xf>
    <xf numFmtId="0" fontId="16" fillId="3" borderId="2" xfId="0" applyFont="1" applyFill="1" applyBorder="1" applyAlignment="1" applyProtection="1">
      <alignment horizontal="center"/>
      <protection hidden="1"/>
    </xf>
    <xf numFmtId="1" fontId="16" fillId="16" borderId="25" xfId="0" applyNumberFormat="1" applyFont="1" applyFill="1" applyBorder="1" applyAlignment="1" applyProtection="1">
      <alignment horizontal="center"/>
      <protection hidden="1"/>
    </xf>
    <xf numFmtId="1" fontId="16" fillId="16" borderId="15" xfId="0" applyNumberFormat="1" applyFont="1" applyFill="1" applyBorder="1" applyAlignment="1" applyProtection="1">
      <alignment horizontal="center"/>
      <protection hidden="1"/>
    </xf>
    <xf numFmtId="1" fontId="16" fillId="16" borderId="26" xfId="0" applyNumberFormat="1" applyFont="1" applyFill="1" applyBorder="1" applyAlignment="1" applyProtection="1">
      <alignment horizontal="center"/>
      <protection hidden="1"/>
    </xf>
    <xf numFmtId="1" fontId="16" fillId="6" borderId="3" xfId="0" applyNumberFormat="1" applyFont="1" applyFill="1" applyBorder="1" applyAlignment="1" applyProtection="1">
      <alignment horizontal="center"/>
      <protection hidden="1"/>
    </xf>
    <xf numFmtId="1" fontId="16" fillId="6" borderId="4" xfId="0" applyNumberFormat="1" applyFont="1" applyFill="1" applyBorder="1" applyAlignment="1" applyProtection="1">
      <alignment horizontal="center"/>
      <protection hidden="1"/>
    </xf>
    <xf numFmtId="1" fontId="16" fillId="6" borderId="5" xfId="0" applyNumberFormat="1" applyFont="1" applyFill="1" applyBorder="1" applyAlignment="1" applyProtection="1">
      <alignment horizontal="center"/>
      <protection hidden="1"/>
    </xf>
    <xf numFmtId="0" fontId="12" fillId="9" borderId="6" xfId="0" applyFont="1" applyFill="1" applyBorder="1" applyAlignment="1" applyProtection="1">
      <alignment horizontal="center"/>
      <protection locked="0" hidden="1"/>
    </xf>
    <xf numFmtId="0" fontId="12" fillId="6" borderId="3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12" fillId="9" borderId="4" xfId="0" applyFont="1" applyFill="1" applyBorder="1" applyAlignment="1" applyProtection="1">
      <alignment horizontal="center"/>
      <protection hidden="1"/>
    </xf>
    <xf numFmtId="0" fontId="9" fillId="16" borderId="16" xfId="0" applyFont="1" applyFill="1" applyBorder="1" applyAlignment="1" applyProtection="1">
      <alignment horizontal="center"/>
      <protection hidden="1"/>
    </xf>
    <xf numFmtId="0" fontId="9" fillId="16" borderId="17" xfId="0" applyFont="1" applyFill="1" applyBorder="1" applyAlignment="1" applyProtection="1">
      <alignment horizontal="center"/>
      <protection hidden="1"/>
    </xf>
    <xf numFmtId="0" fontId="16" fillId="19" borderId="3" xfId="0" applyFont="1" applyFill="1" applyBorder="1" applyAlignment="1">
      <alignment horizontal="center"/>
    </xf>
    <xf numFmtId="0" fontId="16" fillId="19" borderId="4" xfId="0" applyFont="1" applyFill="1" applyBorder="1" applyAlignment="1">
      <alignment horizontal="center"/>
    </xf>
    <xf numFmtId="0" fontId="16" fillId="19" borderId="5" xfId="0" applyFont="1" applyFill="1" applyBorder="1" applyAlignment="1">
      <alignment horizontal="center"/>
    </xf>
    <xf numFmtId="0" fontId="12" fillId="20" borderId="6" xfId="0" applyFont="1" applyFill="1" applyBorder="1" applyAlignment="1" applyProtection="1">
      <alignment horizontal="center" wrapText="1"/>
      <protection hidden="1"/>
    </xf>
    <xf numFmtId="0" fontId="62" fillId="13" borderId="3" xfId="0" applyFont="1" applyFill="1" applyBorder="1" applyAlignment="1" applyProtection="1">
      <alignment horizontal="center"/>
      <protection locked="0" hidden="1"/>
    </xf>
    <xf numFmtId="0" fontId="62" fillId="13" borderId="4" xfId="0" applyFont="1" applyFill="1" applyBorder="1" applyAlignment="1" applyProtection="1">
      <alignment horizontal="center"/>
      <protection locked="0" hidden="1"/>
    </xf>
    <xf numFmtId="0" fontId="62" fillId="13" borderId="5" xfId="0" applyFont="1" applyFill="1" applyBorder="1" applyAlignment="1" applyProtection="1">
      <alignment horizontal="center"/>
      <protection locked="0" hidden="1"/>
    </xf>
    <xf numFmtId="0" fontId="9" fillId="13" borderId="3" xfId="0" applyFont="1" applyFill="1" applyBorder="1" applyAlignment="1" applyProtection="1">
      <alignment horizontal="center"/>
      <protection hidden="1"/>
    </xf>
    <xf numFmtId="0" fontId="9" fillId="13" borderId="4" xfId="0" applyFont="1" applyFill="1" applyBorder="1" applyAlignment="1" applyProtection="1">
      <alignment horizontal="center"/>
      <protection hidden="1"/>
    </xf>
    <xf numFmtId="0" fontId="9" fillId="13" borderId="5" xfId="0" applyFont="1" applyFill="1" applyBorder="1" applyAlignment="1" applyProtection="1">
      <alignment horizontal="center"/>
      <protection hidden="1"/>
    </xf>
    <xf numFmtId="49" fontId="12" fillId="23" borderId="3" xfId="0" applyNumberFormat="1" applyFont="1" applyFill="1" applyBorder="1" applyAlignment="1" applyProtection="1">
      <alignment horizontal="center"/>
      <protection locked="0" hidden="1"/>
    </xf>
    <xf numFmtId="49" fontId="12" fillId="23" borderId="4" xfId="0" applyNumberFormat="1" applyFont="1" applyFill="1" applyBorder="1" applyAlignment="1" applyProtection="1">
      <alignment horizontal="center"/>
      <protection locked="0" hidden="1"/>
    </xf>
    <xf numFmtId="49" fontId="12" fillId="23" borderId="5" xfId="0" applyNumberFormat="1" applyFont="1" applyFill="1" applyBorder="1" applyAlignment="1" applyProtection="1">
      <alignment horizontal="center"/>
      <protection locked="0" hidden="1"/>
    </xf>
    <xf numFmtId="0" fontId="5" fillId="6" borderId="6" xfId="0" applyFont="1" applyFill="1" applyBorder="1" applyAlignment="1" applyProtection="1">
      <alignment horizontal="center"/>
      <protection hidden="1"/>
    </xf>
    <xf numFmtId="0" fontId="58" fillId="0" borderId="12" xfId="0" applyFont="1" applyBorder="1" applyAlignment="1">
      <alignment horizontal="center" vertical="center"/>
    </xf>
    <xf numFmtId="0" fontId="58" fillId="0" borderId="13" xfId="0" applyFont="1" applyBorder="1" applyAlignment="1">
      <alignment horizontal="center" vertical="center"/>
    </xf>
    <xf numFmtId="0" fontId="58" fillId="0" borderId="14" xfId="0" applyFont="1" applyBorder="1" applyAlignment="1">
      <alignment horizontal="center" vertical="center"/>
    </xf>
    <xf numFmtId="0" fontId="60" fillId="13" borderId="50" xfId="0" applyFont="1" applyFill="1" applyBorder="1" applyAlignment="1">
      <alignment horizontal="center"/>
    </xf>
    <xf numFmtId="0" fontId="60" fillId="13" borderId="10" xfId="0" applyFont="1" applyFill="1" applyBorder="1" applyAlignment="1">
      <alignment horizontal="center"/>
    </xf>
    <xf numFmtId="0" fontId="60" fillId="13" borderId="11" xfId="0" applyFont="1" applyFill="1" applyBorder="1" applyAlignment="1">
      <alignment horizontal="center"/>
    </xf>
    <xf numFmtId="0" fontId="75" fillId="13" borderId="3" xfId="0" applyFont="1" applyFill="1" applyBorder="1" applyAlignment="1" applyProtection="1">
      <alignment horizontal="center"/>
      <protection hidden="1"/>
    </xf>
    <xf numFmtId="0" fontId="75" fillId="13" borderId="4" xfId="0" applyFont="1" applyFill="1" applyBorder="1" applyAlignment="1" applyProtection="1">
      <alignment horizontal="center"/>
      <protection hidden="1"/>
    </xf>
    <xf numFmtId="0" fontId="75" fillId="13" borderId="5" xfId="0" applyFont="1" applyFill="1" applyBorder="1" applyAlignment="1" applyProtection="1">
      <alignment horizontal="center"/>
      <protection hidden="1"/>
    </xf>
    <xf numFmtId="15" fontId="5" fillId="9" borderId="29" xfId="0" applyNumberFormat="1" applyFont="1" applyFill="1" applyBorder="1" applyAlignment="1" applyProtection="1">
      <alignment horizontal="center"/>
      <protection locked="0"/>
    </xf>
    <xf numFmtId="15" fontId="5" fillId="9" borderId="0" xfId="0" applyNumberFormat="1" applyFont="1" applyFill="1" applyAlignment="1" applyProtection="1">
      <alignment horizontal="center"/>
      <protection locked="0"/>
    </xf>
    <xf numFmtId="15" fontId="5" fillId="9" borderId="40" xfId="0" applyNumberFormat="1" applyFont="1" applyFill="1" applyBorder="1" applyAlignment="1" applyProtection="1">
      <alignment horizontal="center"/>
      <protection locked="0"/>
    </xf>
    <xf numFmtId="0" fontId="41" fillId="16" borderId="60" xfId="0" applyFont="1" applyFill="1" applyBorder="1"/>
    <xf numFmtId="0" fontId="41" fillId="16" borderId="61" xfId="0" applyFont="1" applyFill="1" applyBorder="1"/>
    <xf numFmtId="0" fontId="41" fillId="16" borderId="62" xfId="0" applyFont="1" applyFill="1" applyBorder="1"/>
    <xf numFmtId="0" fontId="41" fillId="17" borderId="60" xfId="0" applyFont="1" applyFill="1" applyBorder="1" applyAlignment="1">
      <alignment horizontal="left"/>
    </xf>
    <xf numFmtId="0" fontId="41" fillId="17" borderId="61" xfId="0" applyFont="1" applyFill="1" applyBorder="1" applyAlignment="1">
      <alignment horizontal="left"/>
    </xf>
    <xf numFmtId="0" fontId="41" fillId="17" borderId="62" xfId="0" applyFont="1" applyFill="1" applyBorder="1" applyAlignment="1">
      <alignment horizontal="left"/>
    </xf>
    <xf numFmtId="0" fontId="9" fillId="0" borderId="29" xfId="0" applyFont="1" applyBorder="1" applyAlignment="1" applyProtection="1">
      <alignment horizontal="left"/>
      <protection hidden="1"/>
    </xf>
    <xf numFmtId="0" fontId="9" fillId="0" borderId="0" xfId="0" applyFont="1" applyAlignment="1" applyProtection="1">
      <alignment horizontal="left"/>
      <protection hidden="1"/>
    </xf>
    <xf numFmtId="0" fontId="12" fillId="13" borderId="3" xfId="0" applyFont="1" applyFill="1" applyBorder="1" applyAlignment="1" applyProtection="1">
      <alignment horizontal="center"/>
      <protection hidden="1"/>
    </xf>
    <xf numFmtId="0" fontId="12" fillId="13" borderId="4" xfId="0" applyFont="1" applyFill="1" applyBorder="1" applyAlignment="1" applyProtection="1">
      <alignment horizontal="center"/>
      <protection hidden="1"/>
    </xf>
    <xf numFmtId="0" fontId="12" fillId="13" borderId="5" xfId="0" applyFont="1" applyFill="1" applyBorder="1" applyAlignment="1" applyProtection="1">
      <alignment horizontal="center"/>
      <protection hidden="1"/>
    </xf>
    <xf numFmtId="0" fontId="16" fillId="9" borderId="16" xfId="0" applyFont="1" applyFill="1" applyBorder="1" applyAlignment="1" applyProtection="1">
      <alignment horizontal="center"/>
      <protection locked="0" hidden="1"/>
    </xf>
    <xf numFmtId="0" fontId="16" fillId="9" borderId="17" xfId="0" applyFont="1" applyFill="1" applyBorder="1" applyAlignment="1" applyProtection="1">
      <alignment horizontal="center"/>
      <protection locked="0" hidden="1"/>
    </xf>
    <xf numFmtId="0" fontId="16" fillId="9" borderId="25" xfId="0" applyFont="1" applyFill="1" applyBorder="1" applyAlignment="1" applyProtection="1">
      <alignment horizontal="center"/>
      <protection locked="0" hidden="1"/>
    </xf>
    <xf numFmtId="15" fontId="5" fillId="6" borderId="6" xfId="0" applyNumberFormat="1" applyFont="1" applyFill="1" applyBorder="1" applyAlignment="1" applyProtection="1">
      <alignment horizontal="center"/>
      <protection hidden="1"/>
    </xf>
    <xf numFmtId="1" fontId="3" fillId="13" borderId="45" xfId="0" applyNumberFormat="1" applyFont="1" applyFill="1" applyBorder="1" applyAlignment="1" applyProtection="1">
      <alignment horizontal="center" vertical="center" wrapText="1"/>
      <protection hidden="1"/>
    </xf>
    <xf numFmtId="1" fontId="3" fillId="13" borderId="10" xfId="0" applyNumberFormat="1" applyFont="1" applyFill="1" applyBorder="1" applyAlignment="1" applyProtection="1">
      <alignment horizontal="center" vertical="center" wrapText="1"/>
      <protection hidden="1"/>
    </xf>
    <xf numFmtId="1" fontId="3" fillId="13" borderId="46" xfId="0" applyNumberFormat="1" applyFont="1" applyFill="1" applyBorder="1" applyAlignment="1" applyProtection="1">
      <alignment horizontal="center" vertical="center" wrapText="1"/>
      <protection hidden="1"/>
    </xf>
    <xf numFmtId="1" fontId="3" fillId="13" borderId="22" xfId="0" applyNumberFormat="1" applyFont="1" applyFill="1" applyBorder="1" applyAlignment="1" applyProtection="1">
      <alignment horizontal="center" vertical="center" wrapText="1"/>
      <protection hidden="1"/>
    </xf>
    <xf numFmtId="1" fontId="3" fillId="13" borderId="1" xfId="0" applyNumberFormat="1" applyFont="1" applyFill="1" applyBorder="1" applyAlignment="1" applyProtection="1">
      <alignment horizontal="center" vertical="center" wrapText="1"/>
      <protection hidden="1"/>
    </xf>
    <xf numFmtId="1" fontId="3" fillId="13" borderId="26" xfId="0" applyNumberFormat="1" applyFont="1" applyFill="1" applyBorder="1" applyAlignment="1" applyProtection="1">
      <alignment horizontal="center" vertical="center" wrapText="1"/>
      <protection hidden="1"/>
    </xf>
    <xf numFmtId="0" fontId="12" fillId="0" borderId="45" xfId="0" applyFont="1" applyBorder="1" applyAlignment="1" applyProtection="1">
      <alignment horizontal="left" vertical="center"/>
      <protection hidden="1"/>
    </xf>
    <xf numFmtId="0" fontId="12" fillId="0" borderId="10" xfId="0" applyFont="1" applyBorder="1" applyAlignment="1" applyProtection="1">
      <alignment horizontal="left" vertical="center"/>
      <protection hidden="1"/>
    </xf>
    <xf numFmtId="0" fontId="12" fillId="0" borderId="46" xfId="0" applyFont="1" applyBorder="1" applyAlignment="1" applyProtection="1">
      <alignment horizontal="left" vertical="center"/>
      <protection hidden="1"/>
    </xf>
    <xf numFmtId="0" fontId="39" fillId="2" borderId="59" xfId="0" applyFont="1" applyFill="1" applyBorder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0" fontId="39" fillId="2" borderId="12" xfId="0" applyFont="1" applyFill="1" applyBorder="1" applyAlignment="1">
      <alignment horizontal="center" vertical="center"/>
    </xf>
    <xf numFmtId="0" fontId="39" fillId="2" borderId="13" xfId="0" applyFont="1" applyFill="1" applyBorder="1" applyAlignment="1">
      <alignment horizontal="center" vertical="center"/>
    </xf>
    <xf numFmtId="0" fontId="19" fillId="4" borderId="0" xfId="2" applyFont="1" applyFill="1" applyAlignment="1" applyProtection="1">
      <alignment horizontal="center" vertical="center"/>
      <protection locked="0"/>
    </xf>
    <xf numFmtId="2" fontId="43" fillId="6" borderId="0" xfId="0" applyNumberFormat="1" applyFont="1" applyFill="1" applyAlignment="1">
      <alignment horizontal="center" vertical="center"/>
    </xf>
    <xf numFmtId="2" fontId="44" fillId="18" borderId="1" xfId="0" applyNumberFormat="1" applyFont="1" applyFill="1" applyBorder="1" applyAlignment="1">
      <alignment horizontal="center" vertical="center"/>
    </xf>
    <xf numFmtId="2" fontId="52" fillId="21" borderId="17" xfId="0" applyNumberFormat="1" applyFont="1" applyFill="1" applyBorder="1" applyAlignment="1">
      <alignment horizontal="right" indent="1"/>
    </xf>
    <xf numFmtId="0" fontId="55" fillId="10" borderId="29" xfId="0" applyFont="1" applyFill="1" applyBorder="1" applyAlignment="1">
      <alignment horizontal="center"/>
    </xf>
    <xf numFmtId="0" fontId="55" fillId="10" borderId="0" xfId="0" applyFont="1" applyFill="1" applyAlignment="1">
      <alignment horizontal="center"/>
    </xf>
    <xf numFmtId="0" fontId="56" fillId="6" borderId="0" xfId="0" applyFont="1" applyFill="1" applyAlignment="1">
      <alignment horizontal="center"/>
    </xf>
    <xf numFmtId="1" fontId="47" fillId="2" borderId="0" xfId="0" applyNumberFormat="1" applyFont="1" applyFill="1" applyAlignment="1">
      <alignment horizontal="center" vertical="center" wrapText="1"/>
    </xf>
    <xf numFmtId="1" fontId="49" fillId="9" borderId="0" xfId="0" applyNumberFormat="1" applyFont="1" applyFill="1" applyAlignment="1">
      <alignment horizontal="center" vertical="center" wrapText="1"/>
    </xf>
    <xf numFmtId="2" fontId="50" fillId="9" borderId="0" xfId="0" applyNumberFormat="1" applyFont="1" applyFill="1" applyAlignment="1">
      <alignment horizontal="center" vertical="center"/>
    </xf>
    <xf numFmtId="0" fontId="41" fillId="18" borderId="62" xfId="0" applyFont="1" applyFill="1" applyBorder="1" applyAlignment="1">
      <alignment horizontal="left"/>
    </xf>
    <xf numFmtId="0" fontId="19" fillId="4" borderId="59" xfId="2" applyFont="1" applyFill="1" applyBorder="1" applyAlignment="1" applyProtection="1">
      <alignment horizontal="center" vertical="center"/>
    </xf>
    <xf numFmtId="0" fontId="19" fillId="4" borderId="0" xfId="2" applyFont="1" applyFill="1" applyBorder="1" applyAlignment="1" applyProtection="1">
      <alignment horizontal="center" vertical="center"/>
    </xf>
    <xf numFmtId="0" fontId="39" fillId="2" borderId="40" xfId="0" applyFont="1" applyFill="1" applyBorder="1" applyAlignment="1">
      <alignment horizontal="center" vertical="center"/>
    </xf>
    <xf numFmtId="0" fontId="39" fillId="2" borderId="14" xfId="0" applyFont="1" applyFill="1" applyBorder="1" applyAlignment="1">
      <alignment horizontal="center" vertical="center"/>
    </xf>
    <xf numFmtId="0" fontId="37" fillId="4" borderId="0" xfId="2" applyFont="1" applyFill="1" applyAlignment="1" applyProtection="1">
      <alignment horizontal="center" vertical="center"/>
      <protection locked="0"/>
    </xf>
    <xf numFmtId="0" fontId="36" fillId="4" borderId="0" xfId="2" applyFont="1" applyFill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/>
      <protection hidden="1"/>
    </xf>
    <xf numFmtId="0" fontId="9" fillId="6" borderId="44" xfId="0" applyFont="1" applyFill="1" applyBorder="1" applyAlignment="1" applyProtection="1">
      <alignment horizontal="center" vertical="center" wrapText="1"/>
      <protection hidden="1"/>
    </xf>
    <xf numFmtId="0" fontId="9" fillId="6" borderId="7" xfId="0" applyFont="1" applyFill="1" applyBorder="1" applyAlignment="1" applyProtection="1">
      <alignment horizontal="center" vertical="center" wrapText="1"/>
      <protection hidden="1"/>
    </xf>
    <xf numFmtId="0" fontId="9" fillId="6" borderId="8" xfId="0" applyFont="1" applyFill="1" applyBorder="1" applyAlignment="1" applyProtection="1">
      <alignment horizontal="center" vertical="center" wrapText="1"/>
      <protection hidden="1"/>
    </xf>
    <xf numFmtId="0" fontId="9" fillId="6" borderId="2" xfId="0" applyFont="1" applyFill="1" applyBorder="1" applyAlignment="1" applyProtection="1">
      <alignment horizontal="center" vertical="center" wrapText="1"/>
      <protection hidden="1"/>
    </xf>
    <xf numFmtId="0" fontId="9" fillId="6" borderId="44" xfId="0" applyFont="1" applyFill="1" applyBorder="1" applyAlignment="1" applyProtection="1">
      <alignment horizontal="center" vertical="center"/>
      <protection hidden="1"/>
    </xf>
    <xf numFmtId="0" fontId="9" fillId="6" borderId="7" xfId="0" applyFont="1" applyFill="1" applyBorder="1" applyAlignment="1" applyProtection="1">
      <alignment horizontal="center" vertical="center"/>
      <protection hidden="1"/>
    </xf>
    <xf numFmtId="0" fontId="9" fillId="6" borderId="8" xfId="0" applyFont="1" applyFill="1" applyBorder="1" applyAlignment="1" applyProtection="1">
      <alignment horizontal="center" vertical="center"/>
      <protection hidden="1"/>
    </xf>
    <xf numFmtId="1" fontId="12" fillId="9" borderId="0" xfId="0" applyNumberFormat="1" applyFont="1" applyFill="1" applyAlignment="1" applyProtection="1">
      <alignment horizontal="center" vertical="center"/>
      <protection hidden="1"/>
    </xf>
    <xf numFmtId="0" fontId="21" fillId="0" borderId="0" xfId="0" applyFont="1" applyAlignment="1" applyProtection="1">
      <alignment horizontal="center"/>
      <protection hidden="1"/>
    </xf>
    <xf numFmtId="0" fontId="21" fillId="0" borderId="0" xfId="0" applyFont="1" applyAlignment="1" applyProtection="1">
      <alignment horizontal="right"/>
      <protection hidden="1"/>
    </xf>
    <xf numFmtId="0" fontId="8" fillId="11" borderId="3" xfId="0" applyFont="1" applyFill="1" applyBorder="1" applyAlignment="1">
      <alignment horizontal="left"/>
    </xf>
    <xf numFmtId="0" fontId="8" fillId="11" borderId="4" xfId="0" applyFont="1" applyFill="1" applyBorder="1" applyAlignment="1">
      <alignment horizontal="left"/>
    </xf>
    <xf numFmtId="0" fontId="8" fillId="11" borderId="5" xfId="0" applyFont="1" applyFill="1" applyBorder="1" applyAlignment="1">
      <alignment horizontal="left"/>
    </xf>
    <xf numFmtId="0" fontId="8" fillId="12" borderId="3" xfId="0" applyFont="1" applyFill="1" applyBorder="1" applyAlignment="1">
      <alignment horizontal="left"/>
    </xf>
    <xf numFmtId="0" fontId="8" fillId="12" borderId="4" xfId="0" applyFont="1" applyFill="1" applyBorder="1" applyAlignment="1">
      <alignment horizontal="left"/>
    </xf>
    <xf numFmtId="0" fontId="8" fillId="12" borderId="5" xfId="0" applyFont="1" applyFill="1" applyBorder="1" applyAlignment="1">
      <alignment horizontal="left"/>
    </xf>
    <xf numFmtId="0" fontId="10" fillId="11" borderId="3" xfId="0" applyFont="1" applyFill="1" applyBorder="1" applyAlignment="1">
      <alignment horizontal="left"/>
    </xf>
    <xf numFmtId="0" fontId="10" fillId="11" borderId="4" xfId="0" applyFont="1" applyFill="1" applyBorder="1" applyAlignment="1">
      <alignment horizontal="left"/>
    </xf>
    <xf numFmtId="0" fontId="10" fillId="11" borderId="5" xfId="0" applyFont="1" applyFill="1" applyBorder="1" applyAlignment="1">
      <alignment horizontal="left"/>
    </xf>
    <xf numFmtId="0" fontId="10" fillId="0" borderId="39" xfId="0" applyFont="1" applyBorder="1" applyAlignment="1">
      <alignment horizontal="left"/>
    </xf>
    <xf numFmtId="0" fontId="10" fillId="0" borderId="47" xfId="0" applyFont="1" applyBorder="1" applyAlignment="1">
      <alignment horizontal="left"/>
    </xf>
    <xf numFmtId="0" fontId="10" fillId="0" borderId="48" xfId="0" applyFont="1" applyBorder="1" applyAlignment="1">
      <alignment horizontal="left"/>
    </xf>
    <xf numFmtId="0" fontId="9" fillId="9" borderId="49" xfId="0" applyFont="1" applyFill="1" applyBorder="1" applyAlignment="1">
      <alignment horizontal="center" vertical="center"/>
    </xf>
    <xf numFmtId="0" fontId="9" fillId="9" borderId="50" xfId="0" applyFont="1" applyFill="1" applyBorder="1" applyAlignment="1">
      <alignment horizontal="center" vertical="center"/>
    </xf>
    <xf numFmtId="0" fontId="9" fillId="9" borderId="51" xfId="0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left"/>
    </xf>
    <xf numFmtId="49" fontId="8" fillId="0" borderId="4" xfId="0" applyNumberFormat="1" applyFont="1" applyBorder="1" applyAlignment="1">
      <alignment horizontal="left"/>
    </xf>
    <xf numFmtId="49" fontId="8" fillId="0" borderId="22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left"/>
    </xf>
    <xf numFmtId="0" fontId="8" fillId="2" borderId="3" xfId="0" applyFont="1" applyFill="1" applyBorder="1" applyAlignment="1">
      <alignment horizontal="left"/>
    </xf>
    <xf numFmtId="0" fontId="8" fillId="2" borderId="4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1" fontId="12" fillId="0" borderId="13" xfId="0" applyNumberFormat="1" applyFont="1" applyBorder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/>
      <protection hidden="1"/>
    </xf>
    <xf numFmtId="0" fontId="31" fillId="0" borderId="54" xfId="0" applyFont="1" applyBorder="1" applyAlignment="1" applyProtection="1">
      <alignment horizontal="center"/>
      <protection hidden="1"/>
    </xf>
    <xf numFmtId="0" fontId="32" fillId="0" borderId="53" xfId="0" applyFont="1" applyBorder="1" applyAlignment="1" applyProtection="1">
      <alignment horizontal="center"/>
      <protection hidden="1"/>
    </xf>
    <xf numFmtId="0" fontId="32" fillId="0" borderId="54" xfId="0" applyFont="1" applyBorder="1" applyAlignment="1" applyProtection="1">
      <alignment horizontal="center"/>
      <protection hidden="1"/>
    </xf>
    <xf numFmtId="0" fontId="9" fillId="6" borderId="45" xfId="0" applyFont="1" applyFill="1" applyBorder="1" applyAlignment="1" applyProtection="1">
      <alignment horizontal="center" vertical="center"/>
      <protection hidden="1"/>
    </xf>
    <xf numFmtId="0" fontId="9" fillId="6" borderId="10" xfId="0" applyFont="1" applyFill="1" applyBorder="1" applyAlignment="1" applyProtection="1">
      <alignment horizontal="center" vertical="center"/>
      <protection hidden="1"/>
    </xf>
    <xf numFmtId="0" fontId="9" fillId="6" borderId="46" xfId="0" applyFont="1" applyFill="1" applyBorder="1" applyAlignment="1" applyProtection="1">
      <alignment horizontal="center" vertical="center"/>
      <protection hidden="1"/>
    </xf>
    <xf numFmtId="0" fontId="9" fillId="6" borderId="29" xfId="0" applyFont="1" applyFill="1" applyBorder="1" applyAlignment="1" applyProtection="1">
      <alignment horizontal="left" vertical="center"/>
      <protection hidden="1"/>
    </xf>
    <xf numFmtId="0" fontId="9" fillId="6" borderId="1" xfId="0" applyFont="1" applyFill="1" applyBorder="1" applyAlignment="1" applyProtection="1">
      <alignment horizontal="left" vertical="center"/>
      <protection hidden="1"/>
    </xf>
    <xf numFmtId="0" fontId="9" fillId="6" borderId="26" xfId="0" applyFont="1" applyFill="1" applyBorder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left"/>
      <protection hidden="1"/>
    </xf>
    <xf numFmtId="1" fontId="12" fillId="0" borderId="0" xfId="0" applyNumberFormat="1" applyFont="1" applyAlignment="1" applyProtection="1">
      <alignment horizontal="left"/>
      <protection hidden="1"/>
    </xf>
    <xf numFmtId="0" fontId="19" fillId="4" borderId="0" xfId="2" applyFont="1" applyFill="1" applyAlignment="1" applyProtection="1">
      <alignment horizontal="left" vertical="center"/>
      <protection locked="0"/>
    </xf>
    <xf numFmtId="0" fontId="12" fillId="0" borderId="0" xfId="0" applyFont="1" applyProtection="1">
      <protection hidden="1"/>
    </xf>
    <xf numFmtId="0" fontId="5" fillId="0" borderId="0" xfId="0" applyFont="1" applyProtection="1">
      <protection hidden="1"/>
    </xf>
    <xf numFmtId="0" fontId="10" fillId="0" borderId="0" xfId="0" applyFont="1" applyAlignment="1" applyProtection="1">
      <alignment horizontal="right"/>
      <protection hidden="1"/>
    </xf>
    <xf numFmtId="0" fontId="8" fillId="0" borderId="0" xfId="0" applyFont="1" applyProtection="1">
      <protection hidden="1"/>
    </xf>
    <xf numFmtId="0" fontId="8" fillId="0" borderId="0" xfId="0" applyFont="1" applyAlignment="1" applyProtection="1">
      <alignment vertical="top" wrapText="1"/>
      <protection hidden="1"/>
    </xf>
    <xf numFmtId="0" fontId="9" fillId="0" borderId="0" xfId="0" applyFont="1" applyAlignment="1" applyProtection="1">
      <alignment horizontal="center"/>
      <protection hidden="1"/>
    </xf>
    <xf numFmtId="0" fontId="10" fillId="6" borderId="0" xfId="0" applyFont="1" applyFill="1" applyAlignment="1" applyProtection="1">
      <alignment horizontal="center"/>
      <protection hidden="1"/>
    </xf>
    <xf numFmtId="0" fontId="10" fillId="6" borderId="15" xfId="0" applyFont="1" applyFill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/>
      <protection hidden="1"/>
    </xf>
    <xf numFmtId="0" fontId="8" fillId="0" borderId="15" xfId="0" applyFont="1" applyBorder="1" applyAlignment="1" applyProtection="1">
      <alignment horizontal="left"/>
      <protection hidden="1"/>
    </xf>
    <xf numFmtId="0" fontId="8" fillId="0" borderId="0" xfId="0" applyFont="1" applyAlignment="1" applyProtection="1">
      <alignment wrapText="1"/>
      <protection hidden="1"/>
    </xf>
    <xf numFmtId="0" fontId="8" fillId="0" borderId="0" xfId="0" applyFont="1" applyAlignment="1" applyProtection="1">
      <alignment horizontal="left" wrapText="1"/>
      <protection hidden="1"/>
    </xf>
    <xf numFmtId="0" fontId="12" fillId="0" borderId="0" xfId="0" applyFont="1" applyAlignment="1" applyProtection="1">
      <alignment horizontal="left" vertical="top" wrapText="1"/>
      <protection hidden="1"/>
    </xf>
    <xf numFmtId="1" fontId="9" fillId="0" borderId="1" xfId="0" applyNumberFormat="1" applyFont="1" applyBorder="1" applyAlignment="1" applyProtection="1">
      <alignment horizontal="left"/>
      <protection hidden="1"/>
    </xf>
    <xf numFmtId="0" fontId="9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15" fillId="4" borderId="0" xfId="2" applyFont="1" applyFill="1" applyAlignment="1" applyProtection="1">
      <alignment horizontal="center" vertical="center"/>
      <protection locked="0"/>
    </xf>
    <xf numFmtId="49" fontId="8" fillId="0" borderId="16" xfId="0" applyNumberFormat="1" applyFont="1" applyBorder="1" applyAlignment="1" applyProtection="1">
      <alignment horizontal="center" vertical="center"/>
      <protection hidden="1"/>
    </xf>
    <xf numFmtId="49" fontId="8" fillId="0" borderId="17" xfId="0" applyNumberFormat="1" applyFont="1" applyBorder="1" applyAlignment="1" applyProtection="1">
      <alignment horizontal="center" vertical="center"/>
      <protection hidden="1"/>
    </xf>
    <xf numFmtId="49" fontId="8" fillId="0" borderId="25" xfId="0" applyNumberFormat="1" applyFont="1" applyBorder="1" applyAlignment="1" applyProtection="1">
      <alignment horizontal="center" vertical="center"/>
      <protection hidden="1"/>
    </xf>
    <xf numFmtId="49" fontId="8" fillId="0" borderId="29" xfId="0" applyNumberFormat="1" applyFont="1" applyBorder="1" applyAlignment="1" applyProtection="1">
      <alignment horizontal="center" vertical="center"/>
      <protection hidden="1"/>
    </xf>
    <xf numFmtId="49" fontId="8" fillId="0" borderId="0" xfId="0" applyNumberFormat="1" applyFont="1" applyAlignment="1" applyProtection="1">
      <alignment horizontal="center" vertical="center"/>
      <protection hidden="1"/>
    </xf>
    <xf numFmtId="49" fontId="8" fillId="0" borderId="15" xfId="0" applyNumberFormat="1" applyFont="1" applyBorder="1" applyAlignment="1" applyProtection="1">
      <alignment horizontal="center" vertical="center"/>
      <protection hidden="1"/>
    </xf>
    <xf numFmtId="2" fontId="8" fillId="0" borderId="4" xfId="0" applyNumberFormat="1" applyFont="1" applyBorder="1" applyAlignment="1" applyProtection="1">
      <alignment horizontal="right"/>
      <protection hidden="1"/>
    </xf>
    <xf numFmtId="0" fontId="8" fillId="0" borderId="16" xfId="0" applyFont="1" applyBorder="1" applyAlignment="1" applyProtection="1">
      <alignment horizontal="center" vertical="center"/>
      <protection hidden="1"/>
    </xf>
    <xf numFmtId="0" fontId="8" fillId="0" borderId="29" xfId="0" applyFont="1" applyBorder="1" applyAlignment="1" applyProtection="1">
      <alignment horizontal="center" vertical="center"/>
      <protection hidden="1"/>
    </xf>
    <xf numFmtId="0" fontId="8" fillId="0" borderId="17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2" fontId="8" fillId="5" borderId="4" xfId="0" applyNumberFormat="1" applyFont="1" applyFill="1" applyBorder="1" applyAlignment="1" applyProtection="1">
      <alignment horizontal="right"/>
      <protection hidden="1"/>
    </xf>
    <xf numFmtId="2" fontId="11" fillId="0" borderId="4" xfId="0" applyNumberFormat="1" applyFont="1" applyBorder="1" applyAlignment="1">
      <alignment horizontal="right"/>
    </xf>
    <xf numFmtId="0" fontId="16" fillId="0" borderId="0" xfId="0" applyFont="1" applyAlignment="1" applyProtection="1">
      <alignment horizontal="center"/>
      <protection hidden="1"/>
    </xf>
    <xf numFmtId="2" fontId="10" fillId="0" borderId="0" xfId="0" applyNumberFormat="1" applyFont="1" applyAlignment="1" applyProtection="1">
      <alignment horizontal="right"/>
      <protection hidden="1"/>
    </xf>
    <xf numFmtId="2" fontId="10" fillId="0" borderId="15" xfId="0" applyNumberFormat="1" applyFont="1" applyBorder="1" applyAlignment="1" applyProtection="1">
      <alignment horizontal="right"/>
      <protection hidden="1"/>
    </xf>
    <xf numFmtId="0" fontId="11" fillId="0" borderId="1" xfId="0" applyFont="1" applyBorder="1" applyAlignment="1" applyProtection="1">
      <alignment horizontal="center"/>
      <protection hidden="1"/>
    </xf>
    <xf numFmtId="2" fontId="9" fillId="0" borderId="31" xfId="0" applyNumberFormat="1" applyFont="1" applyBorder="1" applyAlignment="1" applyProtection="1">
      <alignment horizontal="right"/>
      <protection hidden="1"/>
    </xf>
    <xf numFmtId="0" fontId="9" fillId="0" borderId="31" xfId="0" applyFont="1" applyBorder="1" applyAlignment="1" applyProtection="1">
      <alignment horizontal="right"/>
      <protection hidden="1"/>
    </xf>
    <xf numFmtId="0" fontId="9" fillId="0" borderId="43" xfId="0" applyFont="1" applyBorder="1" applyAlignment="1" applyProtection="1">
      <alignment horizontal="right"/>
      <protection hidden="1"/>
    </xf>
    <xf numFmtId="0" fontId="10" fillId="0" borderId="0" xfId="0" applyFont="1" applyAlignment="1" applyProtection="1">
      <alignment horizontal="center"/>
      <protection hidden="1"/>
    </xf>
    <xf numFmtId="2" fontId="10" fillId="0" borderId="0" xfId="0" applyNumberFormat="1" applyFont="1" applyAlignment="1" applyProtection="1">
      <alignment horizontal="center"/>
      <protection hidden="1"/>
    </xf>
    <xf numFmtId="0" fontId="10" fillId="0" borderId="0" xfId="0" applyFont="1" applyAlignment="1" applyProtection="1">
      <alignment horizontal="left"/>
      <protection hidden="1"/>
    </xf>
    <xf numFmtId="2" fontId="9" fillId="0" borderId="21" xfId="0" applyNumberFormat="1" applyFont="1" applyBorder="1" applyAlignment="1" applyProtection="1">
      <alignment horizontal="right"/>
      <protection hidden="1"/>
    </xf>
    <xf numFmtId="0" fontId="9" fillId="0" borderId="21" xfId="0" applyFont="1" applyBorder="1" applyAlignment="1" applyProtection="1">
      <alignment horizontal="right"/>
      <protection hidden="1"/>
    </xf>
    <xf numFmtId="0" fontId="9" fillId="0" borderId="28" xfId="0" applyFont="1" applyBorder="1" applyAlignment="1" applyProtection="1">
      <alignment horizontal="right"/>
      <protection hidden="1"/>
    </xf>
    <xf numFmtId="2" fontId="10" fillId="0" borderId="21" xfId="0" applyNumberFormat="1" applyFont="1" applyBorder="1" applyAlignment="1" applyProtection="1">
      <alignment horizontal="right"/>
      <protection hidden="1"/>
    </xf>
    <xf numFmtId="0" fontId="10" fillId="0" borderId="21" xfId="0" applyFont="1" applyBorder="1" applyAlignment="1" applyProtection="1">
      <alignment horizontal="right"/>
      <protection hidden="1"/>
    </xf>
    <xf numFmtId="0" fontId="10" fillId="0" borderId="28" xfId="0" applyFont="1" applyBorder="1" applyAlignment="1" applyProtection="1">
      <alignment horizontal="right"/>
      <protection hidden="1"/>
    </xf>
    <xf numFmtId="2" fontId="10" fillId="0" borderId="28" xfId="0" applyNumberFormat="1" applyFont="1" applyBorder="1" applyAlignment="1" applyProtection="1">
      <alignment horizontal="right"/>
      <protection hidden="1"/>
    </xf>
    <xf numFmtId="2" fontId="8" fillId="0" borderId="21" xfId="0" applyNumberFormat="1" applyFont="1" applyBorder="1" applyAlignment="1" applyProtection="1">
      <alignment horizontal="right"/>
      <protection hidden="1"/>
    </xf>
    <xf numFmtId="0" fontId="8" fillId="0" borderId="21" xfId="0" applyFont="1" applyBorder="1" applyAlignment="1" applyProtection="1">
      <alignment horizontal="right"/>
      <protection hidden="1"/>
    </xf>
    <xf numFmtId="0" fontId="8" fillId="0" borderId="28" xfId="0" applyFont="1" applyBorder="1" applyAlignment="1" applyProtection="1">
      <alignment horizontal="right"/>
      <protection hidden="1"/>
    </xf>
    <xf numFmtId="2" fontId="8" fillId="0" borderId="21" xfId="0" applyNumberFormat="1" applyFont="1" applyBorder="1" applyAlignment="1" applyProtection="1">
      <alignment horizontal="center"/>
      <protection hidden="1"/>
    </xf>
    <xf numFmtId="0" fontId="8" fillId="0" borderId="21" xfId="0" applyFont="1" applyBorder="1" applyAlignment="1" applyProtection="1">
      <alignment horizontal="center"/>
      <protection hidden="1"/>
    </xf>
    <xf numFmtId="0" fontId="8" fillId="0" borderId="28" xfId="0" applyFont="1" applyBorder="1" applyAlignment="1" applyProtection="1">
      <alignment horizontal="center"/>
      <protection hidden="1"/>
    </xf>
    <xf numFmtId="2" fontId="8" fillId="0" borderId="28" xfId="0" applyNumberFormat="1" applyFont="1" applyBorder="1" applyAlignment="1" applyProtection="1">
      <alignment horizontal="right"/>
      <protection hidden="1"/>
    </xf>
    <xf numFmtId="2" fontId="8" fillId="0" borderId="1" xfId="0" applyNumberFormat="1" applyFont="1" applyBorder="1" applyAlignment="1" applyProtection="1">
      <alignment horizontal="center"/>
      <protection hidden="1"/>
    </xf>
    <xf numFmtId="0" fontId="8" fillId="0" borderId="1" xfId="0" applyFont="1" applyBorder="1" applyAlignment="1" applyProtection="1">
      <alignment horizontal="center"/>
      <protection hidden="1"/>
    </xf>
    <xf numFmtId="0" fontId="8" fillId="0" borderId="26" xfId="0" applyFont="1" applyBorder="1" applyAlignment="1" applyProtection="1">
      <alignment horizontal="center"/>
      <protection hidden="1"/>
    </xf>
    <xf numFmtId="2" fontId="8" fillId="0" borderId="19" xfId="0" applyNumberFormat="1" applyFont="1" applyBorder="1" applyAlignment="1" applyProtection="1">
      <alignment horizontal="center"/>
      <protection hidden="1"/>
    </xf>
    <xf numFmtId="0" fontId="8" fillId="0" borderId="19" xfId="0" applyFont="1" applyBorder="1" applyAlignment="1" applyProtection="1">
      <alignment horizontal="center"/>
      <protection hidden="1"/>
    </xf>
    <xf numFmtId="0" fontId="8" fillId="0" borderId="27" xfId="0" applyFont="1" applyBorder="1" applyAlignment="1" applyProtection="1">
      <alignment horizontal="center"/>
      <protection hidden="1"/>
    </xf>
    <xf numFmtId="2" fontId="8" fillId="0" borderId="19" xfId="0" applyNumberFormat="1" applyFont="1" applyBorder="1" applyAlignment="1" applyProtection="1">
      <alignment horizontal="right"/>
      <protection hidden="1"/>
    </xf>
    <xf numFmtId="0" fontId="8" fillId="0" borderId="19" xfId="0" applyFont="1" applyBorder="1" applyAlignment="1" applyProtection="1">
      <alignment horizontal="right"/>
      <protection hidden="1"/>
    </xf>
    <xf numFmtId="0" fontId="8" fillId="0" borderId="27" xfId="0" applyFont="1" applyBorder="1" applyAlignment="1" applyProtection="1">
      <alignment horizontal="right"/>
      <protection hidden="1"/>
    </xf>
    <xf numFmtId="0" fontId="8" fillId="0" borderId="0" xfId="0" applyFont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/>
      <protection hidden="1"/>
    </xf>
    <xf numFmtId="2" fontId="11" fillId="0" borderId="21" xfId="0" applyNumberFormat="1" applyFont="1" applyBorder="1" applyAlignment="1" applyProtection="1">
      <alignment horizontal="right"/>
      <protection hidden="1"/>
    </xf>
    <xf numFmtId="2" fontId="11" fillId="0" borderId="28" xfId="0" applyNumberFormat="1" applyFont="1" applyBorder="1" applyAlignment="1" applyProtection="1">
      <alignment horizontal="right"/>
      <protection hidden="1"/>
    </xf>
    <xf numFmtId="2" fontId="11" fillId="0" borderId="19" xfId="0" applyNumberFormat="1" applyFont="1" applyBorder="1" applyAlignment="1" applyProtection="1">
      <alignment horizontal="right"/>
      <protection hidden="1"/>
    </xf>
    <xf numFmtId="2" fontId="11" fillId="0" borderId="27" xfId="0" applyNumberFormat="1" applyFont="1" applyBorder="1" applyAlignment="1" applyProtection="1">
      <alignment horizontal="right"/>
      <protection hidden="1"/>
    </xf>
    <xf numFmtId="2" fontId="11" fillId="0" borderId="19" xfId="0" applyNumberFormat="1" applyFont="1" applyBorder="1" applyAlignment="1" applyProtection="1">
      <alignment horizontal="center"/>
      <protection hidden="1"/>
    </xf>
    <xf numFmtId="2" fontId="11" fillId="0" borderId="27" xfId="0" applyNumberFormat="1" applyFont="1" applyBorder="1" applyAlignment="1" applyProtection="1">
      <alignment horizontal="center"/>
      <protection hidden="1"/>
    </xf>
    <xf numFmtId="2" fontId="8" fillId="0" borderId="27" xfId="0" applyNumberFormat="1" applyFont="1" applyBorder="1" applyAlignment="1" applyProtection="1">
      <alignment horizontal="right"/>
      <protection hidden="1"/>
    </xf>
    <xf numFmtId="0" fontId="8" fillId="0" borderId="29" xfId="0" applyFont="1" applyBorder="1" applyAlignment="1" applyProtection="1">
      <alignment horizontal="center"/>
      <protection hidden="1"/>
    </xf>
    <xf numFmtId="0" fontId="8" fillId="0" borderId="4" xfId="0" applyFont="1" applyBorder="1" applyAlignment="1" applyProtection="1">
      <alignment horizontal="right"/>
      <protection hidden="1"/>
    </xf>
    <xf numFmtId="2" fontId="8" fillId="0" borderId="34" xfId="0" applyNumberFormat="1" applyFont="1" applyBorder="1" applyAlignment="1" applyProtection="1">
      <alignment horizontal="right"/>
      <protection hidden="1"/>
    </xf>
    <xf numFmtId="0" fontId="8" fillId="0" borderId="34" xfId="0" applyFont="1" applyBorder="1" applyAlignment="1" applyProtection="1">
      <alignment horizontal="right"/>
      <protection hidden="1"/>
    </xf>
    <xf numFmtId="0" fontId="8" fillId="0" borderId="35" xfId="0" applyFont="1" applyBorder="1" applyAlignment="1" applyProtection="1">
      <alignment horizontal="right"/>
      <protection hidden="1"/>
    </xf>
    <xf numFmtId="0" fontId="11" fillId="0" borderId="4" xfId="0" applyFont="1" applyBorder="1" applyAlignment="1">
      <alignment horizontal="right"/>
    </xf>
    <xf numFmtId="2" fontId="8" fillId="0" borderId="3" xfId="0" applyNumberFormat="1" applyFont="1" applyBorder="1" applyAlignment="1" applyProtection="1">
      <alignment horizontal="center"/>
      <protection hidden="1"/>
    </xf>
    <xf numFmtId="2" fontId="8" fillId="0" borderId="4" xfId="0" applyNumberFormat="1" applyFont="1" applyBorder="1" applyAlignment="1" applyProtection="1">
      <alignment horizontal="center"/>
      <protection hidden="1"/>
    </xf>
    <xf numFmtId="164" fontId="8" fillId="0" borderId="3" xfId="0" applyNumberFormat="1" applyFont="1" applyBorder="1" applyAlignment="1" applyProtection="1">
      <alignment horizontal="center" vertical="center"/>
      <protection locked="0" hidden="1"/>
    </xf>
    <xf numFmtId="164" fontId="8" fillId="0" borderId="4" xfId="0" applyNumberFormat="1" applyFont="1" applyBorder="1" applyAlignment="1" applyProtection="1">
      <alignment horizontal="center" vertical="center"/>
      <protection locked="0" hidden="1"/>
    </xf>
    <xf numFmtId="164" fontId="8" fillId="0" borderId="5" xfId="0" applyNumberFormat="1" applyFont="1" applyBorder="1" applyAlignment="1" applyProtection="1">
      <alignment horizontal="center" vertical="center"/>
      <protection locked="0" hidden="1"/>
    </xf>
    <xf numFmtId="2" fontId="8" fillId="0" borderId="4" xfId="0" applyNumberFormat="1" applyFont="1" applyBorder="1" applyAlignment="1" applyProtection="1">
      <alignment horizontal="right"/>
      <protection locked="0" hidden="1"/>
    </xf>
    <xf numFmtId="0" fontId="8" fillId="0" borderId="4" xfId="0" applyFont="1" applyBorder="1" applyAlignment="1" applyProtection="1">
      <alignment horizontal="right"/>
      <protection locked="0" hidden="1"/>
    </xf>
    <xf numFmtId="2" fontId="8" fillId="0" borderId="3" xfId="0" applyNumberFormat="1" applyFont="1" applyBorder="1" applyAlignment="1" applyProtection="1">
      <alignment horizontal="center"/>
      <protection locked="0" hidden="1"/>
    </xf>
    <xf numFmtId="2" fontId="8" fillId="0" borderId="4" xfId="0" applyNumberFormat="1" applyFont="1" applyBorder="1" applyAlignment="1" applyProtection="1">
      <alignment horizontal="center"/>
      <protection locked="0" hidden="1"/>
    </xf>
    <xf numFmtId="0" fontId="8" fillId="0" borderId="19" xfId="0" applyFont="1" applyBorder="1" applyAlignment="1" applyProtection="1">
      <alignment horizontal="left"/>
      <protection hidden="1"/>
    </xf>
    <xf numFmtId="0" fontId="8" fillId="0" borderId="29" xfId="0" applyFont="1" applyBorder="1" applyAlignment="1" applyProtection="1">
      <alignment horizontal="left"/>
      <protection hidden="1"/>
    </xf>
    <xf numFmtId="0" fontId="8" fillId="0" borderId="21" xfId="0" applyFont="1" applyBorder="1" applyAlignment="1" applyProtection="1">
      <alignment horizontal="left"/>
      <protection hidden="1"/>
    </xf>
    <xf numFmtId="0" fontId="8" fillId="0" borderId="28" xfId="0" applyFont="1" applyBorder="1" applyAlignment="1" applyProtection="1">
      <alignment horizontal="left"/>
      <protection hidden="1"/>
    </xf>
    <xf numFmtId="0" fontId="8" fillId="0" borderId="22" xfId="0" applyFont="1" applyBorder="1" applyAlignment="1" applyProtection="1">
      <alignment horizontal="left"/>
      <protection hidden="1"/>
    </xf>
    <xf numFmtId="0" fontId="8" fillId="0" borderId="1" xfId="0" applyFont="1" applyBorder="1" applyAlignment="1" applyProtection="1">
      <alignment horizontal="left"/>
      <protection hidden="1"/>
    </xf>
    <xf numFmtId="0" fontId="8" fillId="0" borderId="27" xfId="0" applyFont="1" applyBorder="1" applyAlignment="1" applyProtection="1">
      <alignment horizontal="left"/>
      <protection hidden="1"/>
    </xf>
    <xf numFmtId="0" fontId="8" fillId="0" borderId="21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 applyProtection="1">
      <alignment horizontal="center" vertical="center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9" fontId="5" fillId="6" borderId="3" xfId="0" applyNumberFormat="1" applyFont="1" applyFill="1" applyBorder="1" applyAlignment="1" applyProtection="1">
      <alignment horizontal="center"/>
      <protection hidden="1"/>
    </xf>
    <xf numFmtId="165" fontId="5" fillId="6" borderId="3" xfId="0" applyNumberFormat="1" applyFont="1" applyFill="1" applyBorder="1" applyAlignment="1" applyProtection="1">
      <alignment horizontal="center"/>
      <protection hidden="1"/>
    </xf>
    <xf numFmtId="0" fontId="9" fillId="0" borderId="15" xfId="0" applyFont="1" applyBorder="1" applyAlignment="1" applyProtection="1">
      <alignment horizontal="left"/>
      <protection hidden="1"/>
    </xf>
    <xf numFmtId="0" fontId="13" fillId="0" borderId="0" xfId="0" applyFont="1" applyAlignment="1" applyProtection="1">
      <alignment vertical="top" wrapText="1"/>
      <protection hidden="1"/>
    </xf>
    <xf numFmtId="0" fontId="9" fillId="0" borderId="42" xfId="0" applyFont="1" applyBorder="1" applyAlignment="1" applyProtection="1">
      <alignment horizontal="right"/>
      <protection hidden="1"/>
    </xf>
    <xf numFmtId="0" fontId="8" fillId="0" borderId="37" xfId="0" applyFont="1" applyBorder="1" applyAlignment="1" applyProtection="1">
      <alignment horizontal="center"/>
      <protection hidden="1"/>
    </xf>
    <xf numFmtId="0" fontId="8" fillId="0" borderId="38" xfId="0" applyFont="1" applyBorder="1" applyAlignment="1" applyProtection="1">
      <alignment horizontal="center"/>
      <protection hidden="1"/>
    </xf>
    <xf numFmtId="2" fontId="8" fillId="0" borderId="28" xfId="0" applyNumberFormat="1" applyFont="1" applyBorder="1" applyAlignment="1" applyProtection="1">
      <alignment horizontal="center"/>
      <protection hidden="1"/>
    </xf>
    <xf numFmtId="2" fontId="8" fillId="0" borderId="31" xfId="0" applyNumberFormat="1" applyFont="1" applyBorder="1" applyAlignment="1" applyProtection="1">
      <alignment horizontal="right"/>
      <protection hidden="1"/>
    </xf>
    <xf numFmtId="2" fontId="8" fillId="0" borderId="36" xfId="0" applyNumberFormat="1" applyFont="1" applyBorder="1" applyAlignment="1" applyProtection="1">
      <alignment horizontal="right"/>
      <protection hidden="1"/>
    </xf>
    <xf numFmtId="2" fontId="8" fillId="0" borderId="27" xfId="0" applyNumberFormat="1" applyFont="1" applyBorder="1" applyAlignment="1" applyProtection="1">
      <alignment horizontal="center"/>
      <protection hidden="1"/>
    </xf>
    <xf numFmtId="0" fontId="13" fillId="3" borderId="0" xfId="0" applyFont="1" applyFill="1" applyAlignment="1">
      <alignment horizontal="center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0" fontId="2" fillId="0" borderId="8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7" xfId="0" applyFont="1" applyBorder="1" applyAlignment="1" applyProtection="1">
      <alignment horizontal="center" vertical="center" wrapText="1"/>
      <protection hidden="1"/>
    </xf>
    <xf numFmtId="0" fontId="2" fillId="0" borderId="8" xfId="0" applyFont="1" applyBorder="1" applyAlignment="1" applyProtection="1">
      <alignment horizontal="center" vertical="center" wrapText="1"/>
      <protection hidden="1"/>
    </xf>
    <xf numFmtId="0" fontId="2" fillId="0" borderId="3" xfId="0" applyFont="1" applyBorder="1" applyAlignment="1" applyProtection="1">
      <alignment horizontal="left" vertical="center"/>
      <protection locked="0" hidden="1"/>
    </xf>
    <xf numFmtId="0" fontId="2" fillId="0" borderId="4" xfId="0" applyFont="1" applyBorder="1" applyAlignment="1" applyProtection="1">
      <alignment horizontal="left" vertical="center"/>
      <protection locked="0" hidden="1"/>
    </xf>
    <xf numFmtId="0" fontId="2" fillId="0" borderId="5" xfId="0" applyFont="1" applyBorder="1" applyAlignment="1" applyProtection="1">
      <alignment horizontal="left" vertical="center"/>
      <protection locked="0" hidden="1"/>
    </xf>
    <xf numFmtId="0" fontId="2" fillId="0" borderId="3" xfId="0" applyFont="1" applyBorder="1" applyAlignment="1" applyProtection="1">
      <alignment horizontal="left" vertical="center"/>
      <protection hidden="1"/>
    </xf>
    <xf numFmtId="0" fontId="2" fillId="0" borderId="4" xfId="0" applyFont="1" applyBorder="1" applyAlignment="1" applyProtection="1">
      <alignment horizontal="left" vertical="center"/>
      <protection hidden="1"/>
    </xf>
    <xf numFmtId="0" fontId="2" fillId="0" borderId="5" xfId="0" applyFont="1" applyBorder="1" applyAlignment="1" applyProtection="1">
      <alignment horizontal="left" vertical="center"/>
      <protection hidden="1"/>
    </xf>
  </cellXfs>
  <cellStyles count="8">
    <cellStyle name="Comma" xfId="1" builtinId="3"/>
    <cellStyle name="Hyperlink" xfId="2" builtinId="8"/>
    <cellStyle name="Neutral" xfId="3" builtinId="28"/>
    <cellStyle name="Normal" xfId="0" builtinId="0"/>
    <cellStyle name="Normal 2" xfId="4" xr:uid="{00000000-0005-0000-0000-000031000000}"/>
    <cellStyle name="Normal 3" xfId="5" xr:uid="{00000000-0005-0000-0000-000032000000}"/>
    <cellStyle name="Normal 4" xfId="6" xr:uid="{00000000-0005-0000-0000-000033000000}"/>
    <cellStyle name="Normal 5" xfId="7" xr:uid="{00000000-0005-0000-0000-000034000000}"/>
  </cellStyles>
  <dxfs count="2">
    <dxf>
      <fill>
        <patternFill patternType="solid">
          <bgColor indexed="10"/>
        </patternFill>
      </fill>
    </dxf>
    <dxf>
      <font>
        <color auto="1"/>
      </font>
      <fill>
        <patternFill patternType="solid">
          <bgColor indexed="1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microsoft.com/office/2006/relationships/vbaProject" Target="vbaProject.bin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jpeg"/><Relationship Id="rId1" Type="http://schemas.openxmlformats.org/officeDocument/2006/relationships/image" Target="../media/image1.png"/><Relationship Id="rId5" Type="http://schemas.openxmlformats.org/officeDocument/2006/relationships/image" Target="../media/image6.jpeg"/><Relationship Id="rId4" Type="http://schemas.openxmlformats.org/officeDocument/2006/relationships/hyperlink" Target="#'Information 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Personal Information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hyperlink" Target="#'Personal Information'!A1"/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hyperlink" Target="#'Personal Information'!A1"/><Relationship Id="rId1" Type="http://schemas.openxmlformats.org/officeDocument/2006/relationships/image" Target="../media/image9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hyperlink" Target="#'Personal Information'!A1"/><Relationship Id="rId1" Type="http://schemas.openxmlformats.org/officeDocument/2006/relationships/image" Target="../media/image10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hyperlink" Target="#'Personal Information'!A1"/><Relationship Id="rId1" Type="http://schemas.openxmlformats.org/officeDocument/2006/relationships/image" Target="../media/image1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hyperlink" Target="#'Personal Information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62</xdr:col>
      <xdr:colOff>200024</xdr:colOff>
      <xdr:row>0</xdr:row>
      <xdr:rowOff>222249</xdr:rowOff>
    </xdr:from>
    <xdr:to>
      <xdr:col>62</xdr:col>
      <xdr:colOff>704849</xdr:colOff>
      <xdr:row>2</xdr:row>
      <xdr:rowOff>194733</xdr:rowOff>
    </xdr:to>
    <xdr:pic>
      <xdr:nvPicPr>
        <xdr:cNvPr id="2" name="Picture 1" descr="images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66915" y="221615"/>
          <a:ext cx="504825" cy="506095"/>
        </a:xfrm>
        <a:prstGeom prst="rect">
          <a:avLst/>
        </a:prstGeom>
      </xdr:spPr>
    </xdr:pic>
    <xdr:clientData/>
  </xdr:twoCellAnchor>
  <xdr:twoCellAnchor editAs="oneCell">
    <xdr:from>
      <xdr:col>62</xdr:col>
      <xdr:colOff>209550</xdr:colOff>
      <xdr:row>7</xdr:row>
      <xdr:rowOff>161925</xdr:rowOff>
    </xdr:from>
    <xdr:to>
      <xdr:col>62</xdr:col>
      <xdr:colOff>714375</xdr:colOff>
      <xdr:row>10</xdr:row>
      <xdr:rowOff>15876</xdr:rowOff>
    </xdr:to>
    <xdr:pic>
      <xdr:nvPicPr>
        <xdr:cNvPr id="3" name="Picture 2" descr="images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77075" y="1619250"/>
          <a:ext cx="504825" cy="501650"/>
        </a:xfrm>
        <a:prstGeom prst="rect">
          <a:avLst/>
        </a:prstGeom>
      </xdr:spPr>
    </xdr:pic>
    <xdr:clientData/>
  </xdr:twoCellAnchor>
  <xdr:twoCellAnchor editAs="oneCell">
    <xdr:from>
      <xdr:col>62</xdr:col>
      <xdr:colOff>219075</xdr:colOff>
      <xdr:row>11</xdr:row>
      <xdr:rowOff>123825</xdr:rowOff>
    </xdr:from>
    <xdr:to>
      <xdr:col>62</xdr:col>
      <xdr:colOff>723900</xdr:colOff>
      <xdr:row>13</xdr:row>
      <xdr:rowOff>236007</xdr:rowOff>
    </xdr:to>
    <xdr:pic>
      <xdr:nvPicPr>
        <xdr:cNvPr id="4" name="Picture 3" descr="images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86600" y="2438400"/>
          <a:ext cx="504825" cy="502285"/>
        </a:xfrm>
        <a:prstGeom prst="rect">
          <a:avLst/>
        </a:prstGeom>
      </xdr:spPr>
    </xdr:pic>
    <xdr:clientData/>
  </xdr:twoCellAnchor>
  <xdr:twoCellAnchor editAs="oneCell">
    <xdr:from>
      <xdr:col>62</xdr:col>
      <xdr:colOff>209550</xdr:colOff>
      <xdr:row>14</xdr:row>
      <xdr:rowOff>171450</xdr:rowOff>
    </xdr:from>
    <xdr:to>
      <xdr:col>62</xdr:col>
      <xdr:colOff>714375</xdr:colOff>
      <xdr:row>17</xdr:row>
      <xdr:rowOff>33867</xdr:rowOff>
    </xdr:to>
    <xdr:pic>
      <xdr:nvPicPr>
        <xdr:cNvPr id="5" name="Picture 4" descr="images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77075" y="3143250"/>
          <a:ext cx="504825" cy="500380"/>
        </a:xfrm>
        <a:prstGeom prst="rect">
          <a:avLst/>
        </a:prstGeom>
      </xdr:spPr>
    </xdr:pic>
    <xdr:clientData/>
  </xdr:twoCellAnchor>
  <xdr:twoCellAnchor editAs="oneCell">
    <xdr:from>
      <xdr:col>62</xdr:col>
      <xdr:colOff>209550</xdr:colOff>
      <xdr:row>17</xdr:row>
      <xdr:rowOff>66675</xdr:rowOff>
    </xdr:from>
    <xdr:to>
      <xdr:col>62</xdr:col>
      <xdr:colOff>714375</xdr:colOff>
      <xdr:row>19</xdr:row>
      <xdr:rowOff>172507</xdr:rowOff>
    </xdr:to>
    <xdr:pic>
      <xdr:nvPicPr>
        <xdr:cNvPr id="7" name="Picture 6" descr="images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77075" y="3676650"/>
          <a:ext cx="504825" cy="505460"/>
        </a:xfrm>
        <a:prstGeom prst="rect">
          <a:avLst/>
        </a:prstGeom>
      </xdr:spPr>
    </xdr:pic>
    <xdr:clientData/>
  </xdr:twoCellAnchor>
  <xdr:twoCellAnchor editAs="oneCell">
    <xdr:from>
      <xdr:col>62</xdr:col>
      <xdr:colOff>247650</xdr:colOff>
      <xdr:row>20</xdr:row>
      <xdr:rowOff>104775</xdr:rowOff>
    </xdr:from>
    <xdr:to>
      <xdr:col>62</xdr:col>
      <xdr:colOff>752475</xdr:colOff>
      <xdr:row>22</xdr:row>
      <xdr:rowOff>153459</xdr:rowOff>
    </xdr:to>
    <xdr:pic>
      <xdr:nvPicPr>
        <xdr:cNvPr id="8" name="Picture 7" descr="images.pn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15175" y="4305300"/>
          <a:ext cx="504825" cy="505460"/>
        </a:xfrm>
        <a:prstGeom prst="rect">
          <a:avLst/>
        </a:prstGeom>
      </xdr:spPr>
    </xdr:pic>
    <xdr:clientData/>
  </xdr:twoCellAnchor>
  <xdr:twoCellAnchor editAs="oneCell">
    <xdr:from>
      <xdr:col>62</xdr:col>
      <xdr:colOff>219075</xdr:colOff>
      <xdr:row>23</xdr:row>
      <xdr:rowOff>76200</xdr:rowOff>
    </xdr:from>
    <xdr:to>
      <xdr:col>62</xdr:col>
      <xdr:colOff>723900</xdr:colOff>
      <xdr:row>25</xdr:row>
      <xdr:rowOff>185207</xdr:rowOff>
    </xdr:to>
    <xdr:pic>
      <xdr:nvPicPr>
        <xdr:cNvPr id="9" name="Picture 8" descr="images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86600" y="4933950"/>
          <a:ext cx="504825" cy="499110"/>
        </a:xfrm>
        <a:prstGeom prst="rect">
          <a:avLst/>
        </a:prstGeom>
      </xdr:spPr>
    </xdr:pic>
    <xdr:clientData/>
  </xdr:twoCellAnchor>
  <xdr:twoCellAnchor editAs="oneCell">
    <xdr:from>
      <xdr:col>26</xdr:col>
      <xdr:colOff>57150</xdr:colOff>
      <xdr:row>0</xdr:row>
      <xdr:rowOff>66675</xdr:rowOff>
    </xdr:from>
    <xdr:to>
      <xdr:col>35</xdr:col>
      <xdr:colOff>62958</xdr:colOff>
      <xdr:row>3</xdr:row>
      <xdr:rowOff>28575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66675"/>
          <a:ext cx="1377315" cy="733425"/>
        </a:xfrm>
        <a:prstGeom prst="rect">
          <a:avLst/>
        </a:prstGeom>
      </xdr:spPr>
    </xdr:pic>
    <xdr:clientData/>
  </xdr:twoCellAnchor>
  <xdr:twoCellAnchor editAs="oneCell">
    <xdr:from>
      <xdr:col>62</xdr:col>
      <xdr:colOff>180975</xdr:colOff>
      <xdr:row>3</xdr:row>
      <xdr:rowOff>57150</xdr:rowOff>
    </xdr:from>
    <xdr:to>
      <xdr:col>62</xdr:col>
      <xdr:colOff>685800</xdr:colOff>
      <xdr:row>6</xdr:row>
      <xdr:rowOff>29634</xdr:rowOff>
    </xdr:to>
    <xdr:pic>
      <xdr:nvPicPr>
        <xdr:cNvPr id="12" name="Picture 11" descr="images.png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48500" y="828675"/>
          <a:ext cx="504825" cy="505460"/>
        </a:xfrm>
        <a:prstGeom prst="rect">
          <a:avLst/>
        </a:prstGeom>
      </xdr:spPr>
    </xdr:pic>
    <xdr:clientData/>
  </xdr:twoCellAnchor>
  <xdr:twoCellAnchor editAs="oneCell">
    <xdr:from>
      <xdr:col>26</xdr:col>
      <xdr:colOff>95250</xdr:colOff>
      <xdr:row>18</xdr:row>
      <xdr:rowOff>76200</xdr:rowOff>
    </xdr:from>
    <xdr:to>
      <xdr:col>62</xdr:col>
      <xdr:colOff>85725</xdr:colOff>
      <xdr:row>31</xdr:row>
      <xdr:rowOff>95250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3876675"/>
          <a:ext cx="6858000" cy="26479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219074</xdr:colOff>
      <xdr:row>2</xdr:row>
      <xdr:rowOff>298449</xdr:rowOff>
    </xdr:from>
    <xdr:to>
      <xdr:col>54</xdr:col>
      <xdr:colOff>723899</xdr:colOff>
      <xdr:row>5</xdr:row>
      <xdr:rowOff>62777</xdr:rowOff>
    </xdr:to>
    <xdr:pic>
      <xdr:nvPicPr>
        <xdr:cNvPr id="3" name="Picture 2" descr="images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29015" y="847725"/>
          <a:ext cx="504825" cy="500380"/>
        </a:xfrm>
        <a:prstGeom prst="rect">
          <a:avLst/>
        </a:prstGeom>
      </xdr:spPr>
    </xdr:pic>
    <xdr:clientData/>
  </xdr:twoCellAnchor>
  <xdr:twoCellAnchor editAs="oneCell">
    <xdr:from>
      <xdr:col>54</xdr:col>
      <xdr:colOff>219075</xdr:colOff>
      <xdr:row>5</xdr:row>
      <xdr:rowOff>114300</xdr:rowOff>
    </xdr:from>
    <xdr:to>
      <xdr:col>54</xdr:col>
      <xdr:colOff>723900</xdr:colOff>
      <xdr:row>8</xdr:row>
      <xdr:rowOff>26795</xdr:rowOff>
    </xdr:to>
    <xdr:pic>
      <xdr:nvPicPr>
        <xdr:cNvPr id="4" name="Picture 3" descr="images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29650" y="1400175"/>
          <a:ext cx="504825" cy="512445"/>
        </a:xfrm>
        <a:prstGeom prst="rect">
          <a:avLst/>
        </a:prstGeom>
      </xdr:spPr>
    </xdr:pic>
    <xdr:clientData/>
  </xdr:twoCellAnchor>
  <xdr:twoCellAnchor editAs="oneCell">
    <xdr:from>
      <xdr:col>54</xdr:col>
      <xdr:colOff>228600</xdr:colOff>
      <xdr:row>8</xdr:row>
      <xdr:rowOff>76200</xdr:rowOff>
    </xdr:from>
    <xdr:to>
      <xdr:col>54</xdr:col>
      <xdr:colOff>733425</xdr:colOff>
      <xdr:row>10</xdr:row>
      <xdr:rowOff>130302</xdr:rowOff>
    </xdr:to>
    <xdr:pic>
      <xdr:nvPicPr>
        <xdr:cNvPr id="5" name="Picture 4" descr="images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39175" y="1962150"/>
          <a:ext cx="504825" cy="492125"/>
        </a:xfrm>
        <a:prstGeom prst="rect">
          <a:avLst/>
        </a:prstGeom>
      </xdr:spPr>
    </xdr:pic>
    <xdr:clientData/>
  </xdr:twoCellAnchor>
  <xdr:twoCellAnchor editAs="oneCell">
    <xdr:from>
      <xdr:col>54</xdr:col>
      <xdr:colOff>228600</xdr:colOff>
      <xdr:row>11</xdr:row>
      <xdr:rowOff>47625</xdr:rowOff>
    </xdr:from>
    <xdr:to>
      <xdr:col>54</xdr:col>
      <xdr:colOff>733425</xdr:colOff>
      <xdr:row>13</xdr:row>
      <xdr:rowOff>121683</xdr:rowOff>
    </xdr:to>
    <xdr:pic>
      <xdr:nvPicPr>
        <xdr:cNvPr id="6" name="Picture 5" descr="images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39175" y="2600325"/>
          <a:ext cx="504825" cy="50228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44</xdr:row>
      <xdr:rowOff>19050</xdr:rowOff>
    </xdr:from>
    <xdr:to>
      <xdr:col>18</xdr:col>
      <xdr:colOff>22534</xdr:colOff>
      <xdr:row>48</xdr:row>
      <xdr:rowOff>180974</xdr:rowOff>
    </xdr:to>
    <xdr:pic>
      <xdr:nvPicPr>
        <xdr:cNvPr id="7" name="Picture 6" descr="verifiedweb.jp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19450" y="9229725"/>
          <a:ext cx="2051050" cy="951865"/>
        </a:xfrm>
        <a:prstGeom prst="rect">
          <a:avLst/>
        </a:prstGeom>
      </xdr:spPr>
    </xdr:pic>
    <xdr:clientData/>
  </xdr:twoCellAnchor>
  <xdr:twoCellAnchor editAs="oneCell">
    <xdr:from>
      <xdr:col>54</xdr:col>
      <xdr:colOff>238125</xdr:colOff>
      <xdr:row>14</xdr:row>
      <xdr:rowOff>57150</xdr:rowOff>
    </xdr:from>
    <xdr:to>
      <xdr:col>54</xdr:col>
      <xdr:colOff>742950</xdr:colOff>
      <xdr:row>17</xdr:row>
      <xdr:rowOff>361</xdr:rowOff>
    </xdr:to>
    <xdr:pic>
      <xdr:nvPicPr>
        <xdr:cNvPr id="8" name="Picture 7" descr="images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48700" y="3248025"/>
          <a:ext cx="504825" cy="504825"/>
        </a:xfrm>
        <a:prstGeom prst="rect">
          <a:avLst/>
        </a:prstGeom>
      </xdr:spPr>
    </xdr:pic>
    <xdr:clientData/>
  </xdr:twoCellAnchor>
  <xdr:twoCellAnchor editAs="oneCell">
    <xdr:from>
      <xdr:col>54</xdr:col>
      <xdr:colOff>238125</xdr:colOff>
      <xdr:row>18</xdr:row>
      <xdr:rowOff>38100</xdr:rowOff>
    </xdr:from>
    <xdr:to>
      <xdr:col>54</xdr:col>
      <xdr:colOff>742950</xdr:colOff>
      <xdr:row>20</xdr:row>
      <xdr:rowOff>162983</xdr:rowOff>
    </xdr:to>
    <xdr:pic>
      <xdr:nvPicPr>
        <xdr:cNvPr id="9" name="Picture 8" descr="images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48700" y="3990975"/>
          <a:ext cx="504825" cy="514985"/>
        </a:xfrm>
        <a:prstGeom prst="rect">
          <a:avLst/>
        </a:prstGeom>
      </xdr:spPr>
    </xdr:pic>
    <xdr:clientData/>
  </xdr:twoCellAnchor>
  <xdr:twoCellAnchor editAs="oneCell">
    <xdr:from>
      <xdr:col>54</xdr:col>
      <xdr:colOff>247650</xdr:colOff>
      <xdr:row>21</xdr:row>
      <xdr:rowOff>38100</xdr:rowOff>
    </xdr:from>
    <xdr:to>
      <xdr:col>54</xdr:col>
      <xdr:colOff>752475</xdr:colOff>
      <xdr:row>23</xdr:row>
      <xdr:rowOff>147108</xdr:rowOff>
    </xdr:to>
    <xdr:pic>
      <xdr:nvPicPr>
        <xdr:cNvPr id="10" name="Picture 9" descr="images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658225" y="4572000"/>
          <a:ext cx="504825" cy="499110"/>
        </a:xfrm>
        <a:prstGeom prst="rect">
          <a:avLst/>
        </a:prstGeom>
      </xdr:spPr>
    </xdr:pic>
    <xdr:clientData/>
  </xdr:twoCellAnchor>
  <xdr:twoCellAnchor editAs="oneCell">
    <xdr:from>
      <xdr:col>27</xdr:col>
      <xdr:colOff>171451</xdr:colOff>
      <xdr:row>0</xdr:row>
      <xdr:rowOff>1</xdr:rowOff>
    </xdr:from>
    <xdr:to>
      <xdr:col>28</xdr:col>
      <xdr:colOff>847726</xdr:colOff>
      <xdr:row>1</xdr:row>
      <xdr:rowOff>132609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96175" y="0"/>
          <a:ext cx="857250" cy="455930"/>
        </a:xfrm>
        <a:prstGeom prst="rect">
          <a:avLst/>
        </a:prstGeom>
      </xdr:spPr>
    </xdr:pic>
    <xdr:clientData/>
  </xdr:twoCellAnchor>
  <xdr:twoCellAnchor editAs="oneCell">
    <xdr:from>
      <xdr:col>56</xdr:col>
      <xdr:colOff>139392</xdr:colOff>
      <xdr:row>0</xdr:row>
      <xdr:rowOff>46464</xdr:rowOff>
    </xdr:from>
    <xdr:to>
      <xdr:col>58</xdr:col>
      <xdr:colOff>139391</xdr:colOff>
      <xdr:row>2</xdr:row>
      <xdr:rowOff>243932</xdr:rowOff>
    </xdr:to>
    <xdr:pic>
      <xdr:nvPicPr>
        <xdr:cNvPr id="12" name="Picture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7415" y="46355"/>
          <a:ext cx="762000" cy="7689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150395</xdr:colOff>
      <xdr:row>3</xdr:row>
      <xdr:rowOff>70187</xdr:rowOff>
    </xdr:from>
    <xdr:to>
      <xdr:col>9</xdr:col>
      <xdr:colOff>250658</xdr:colOff>
      <xdr:row>9</xdr:row>
      <xdr:rowOff>141854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556"/>
        <a:stretch>
          <a:fillRect/>
        </a:stretch>
      </xdr:blipFill>
      <xdr:spPr>
        <a:xfrm>
          <a:off x="11160760" y="860425"/>
          <a:ext cx="1300480" cy="127190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190502</xdr:colOff>
      <xdr:row>0</xdr:row>
      <xdr:rowOff>158750</xdr:rowOff>
    </xdr:from>
    <xdr:to>
      <xdr:col>22</xdr:col>
      <xdr:colOff>550334</xdr:colOff>
      <xdr:row>3</xdr:row>
      <xdr:rowOff>206802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87300" y="158750"/>
          <a:ext cx="1073785" cy="790575"/>
        </a:xfrm>
        <a:prstGeom prst="rect">
          <a:avLst/>
        </a:prstGeom>
      </xdr:spPr>
    </xdr:pic>
    <xdr:clientData/>
  </xdr:twoCellAnchor>
  <xdr:twoCellAnchor editAs="oneCell">
    <xdr:from>
      <xdr:col>45</xdr:col>
      <xdr:colOff>143387</xdr:colOff>
      <xdr:row>2</xdr:row>
      <xdr:rowOff>194596</xdr:rowOff>
    </xdr:from>
    <xdr:to>
      <xdr:col>46</xdr:col>
      <xdr:colOff>126897</xdr:colOff>
      <xdr:row>8</xdr:row>
      <xdr:rowOff>1897</xdr:rowOff>
    </xdr:to>
    <xdr:pic>
      <xdr:nvPicPr>
        <xdr:cNvPr id="2" name="Pictur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556"/>
        <a:stretch>
          <a:fillRect/>
        </a:stretch>
      </xdr:blipFill>
      <xdr:spPr>
        <a:xfrm>
          <a:off x="14173200" y="737235"/>
          <a:ext cx="1174115" cy="11404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152400</xdr:colOff>
      <xdr:row>26</xdr:row>
      <xdr:rowOff>133350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1458575" y="4133850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31741</xdr:colOff>
      <xdr:row>0</xdr:row>
      <xdr:rowOff>42335</xdr:rowOff>
    </xdr:from>
    <xdr:to>
      <xdr:col>0</xdr:col>
      <xdr:colOff>363391</xdr:colOff>
      <xdr:row>1</xdr:row>
      <xdr:rowOff>31750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15" y="41910"/>
          <a:ext cx="332105" cy="199390"/>
        </a:xfrm>
        <a:prstGeom prst="rect">
          <a:avLst/>
        </a:prstGeom>
      </xdr:spPr>
    </xdr:pic>
    <xdr:clientData/>
  </xdr:twoCellAnchor>
  <xdr:twoCellAnchor editAs="oneCell">
    <xdr:from>
      <xdr:col>18</xdr:col>
      <xdr:colOff>529167</xdr:colOff>
      <xdr:row>3</xdr:row>
      <xdr:rowOff>158750</xdr:rowOff>
    </xdr:from>
    <xdr:to>
      <xdr:col>18</xdr:col>
      <xdr:colOff>1700742</xdr:colOff>
      <xdr:row>11</xdr:row>
      <xdr:rowOff>38426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556"/>
        <a:stretch>
          <a:fillRect/>
        </a:stretch>
      </xdr:blipFill>
      <xdr:spPr>
        <a:xfrm>
          <a:off x="7348855" y="682625"/>
          <a:ext cx="1171575" cy="1127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136071</xdr:colOff>
      <xdr:row>0</xdr:row>
      <xdr:rowOff>50132</xdr:rowOff>
    </xdr:from>
    <xdr:to>
      <xdr:col>36</xdr:col>
      <xdr:colOff>1849</xdr:colOff>
      <xdr:row>3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7640" y="49530"/>
          <a:ext cx="722630" cy="436245"/>
        </a:xfrm>
        <a:prstGeom prst="rect">
          <a:avLst/>
        </a:prstGeom>
      </xdr:spPr>
    </xdr:pic>
    <xdr:clientData/>
  </xdr:twoCellAnchor>
  <xdr:twoCellAnchor editAs="oneCell">
    <xdr:from>
      <xdr:col>84</xdr:col>
      <xdr:colOff>322275</xdr:colOff>
      <xdr:row>1</xdr:row>
      <xdr:rowOff>121748</xdr:rowOff>
    </xdr:from>
    <xdr:to>
      <xdr:col>86</xdr:col>
      <xdr:colOff>312177</xdr:colOff>
      <xdr:row>11</xdr:row>
      <xdr:rowOff>25615</xdr:rowOff>
    </xdr:to>
    <xdr:pic>
      <xdr:nvPicPr>
        <xdr:cNvPr id="2" name="Pictur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556"/>
        <a:stretch>
          <a:fillRect/>
        </a:stretch>
      </xdr:blipFill>
      <xdr:spPr>
        <a:xfrm>
          <a:off x="7837170" y="321310"/>
          <a:ext cx="1170940" cy="112331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152400</xdr:colOff>
      <xdr:row>26</xdr:row>
      <xdr:rowOff>133350</xdr:rowOff>
    </xdr:from>
    <xdr:ext cx="184731" cy="39791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1182350" y="4362450"/>
          <a:ext cx="184150" cy="3975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7</xdr:col>
      <xdr:colOff>219075</xdr:colOff>
      <xdr:row>0</xdr:row>
      <xdr:rowOff>57150</xdr:rowOff>
    </xdr:from>
    <xdr:to>
      <xdr:col>7</xdr:col>
      <xdr:colOff>733425</xdr:colOff>
      <xdr:row>1</xdr:row>
      <xdr:rowOff>77491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57150"/>
          <a:ext cx="514350" cy="391795"/>
        </a:xfrm>
        <a:prstGeom prst="rect">
          <a:avLst/>
        </a:prstGeom>
      </xdr:spPr>
    </xdr:pic>
    <xdr:clientData/>
  </xdr:twoCellAnchor>
  <xdr:twoCellAnchor editAs="oneCell">
    <xdr:from>
      <xdr:col>23</xdr:col>
      <xdr:colOff>523875</xdr:colOff>
      <xdr:row>4</xdr:row>
      <xdr:rowOff>19050</xdr:rowOff>
    </xdr:from>
    <xdr:to>
      <xdr:col>24</xdr:col>
      <xdr:colOff>123825</xdr:colOff>
      <xdr:row>9</xdr:row>
      <xdr:rowOff>128385</xdr:rowOff>
    </xdr:to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556"/>
        <a:stretch>
          <a:fillRect/>
        </a:stretch>
      </xdr:blipFill>
      <xdr:spPr>
        <a:xfrm>
          <a:off x="7305675" y="933450"/>
          <a:ext cx="1171575" cy="112839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85</xdr:col>
      <xdr:colOff>552450</xdr:colOff>
      <xdr:row>1</xdr:row>
      <xdr:rowOff>114300</xdr:rowOff>
    </xdr:from>
    <xdr:to>
      <xdr:col>86</xdr:col>
      <xdr:colOff>66675</xdr:colOff>
      <xdr:row>11</xdr:row>
      <xdr:rowOff>23610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556"/>
        <a:stretch>
          <a:fillRect/>
        </a:stretch>
      </xdr:blipFill>
      <xdr:spPr>
        <a:xfrm>
          <a:off x="7343775" y="314325"/>
          <a:ext cx="1171575" cy="11283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eo%20chamba\Downloads\Income-Tax-Calculation-2023-24-For-Uttarakh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lary"/>
      <sheetName val="Other Deduction"/>
      <sheetName val="Tax Old Regime"/>
      <sheetName val="Tax New Regime "/>
    </sheetNames>
    <sheetDataSet>
      <sheetData sheetId="0">
        <row r="2">
          <cell r="S2" t="str">
            <v>HILL ALLOWANCE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ifms.uk.gov.in/Login.aspx" TargetMode="External"/><Relationship Id="rId2" Type="http://schemas.openxmlformats.org/officeDocument/2006/relationships/hyperlink" Target="https://emou.co.in/" TargetMode="External"/><Relationship Id="rId1" Type="http://schemas.openxmlformats.org/officeDocument/2006/relationships/hyperlink" Target="https://docs.google.com/forms/d/e/1FAIpQLSd3h0dK7rUrJtNo2Embqs1eTR_wIIRTrnN_hw7i3OvfoziahQ/viewform?usp=sf_link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ifms.uk.gov.in/Login.aspx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emou.co.in/" TargetMode="External"/><Relationship Id="rId1" Type="http://schemas.openxmlformats.org/officeDocument/2006/relationships/hyperlink" Target="https://docs.google.com/forms/d/e/1FAIpQLSd3h0dK7rUrJtNo2Embqs1eTR_wIIRTrnN_hw7i3OvfoziahQ/viewform?usp=sf_link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tabColor rgb="FFFF0000"/>
  </sheetPr>
  <dimension ref="A1:EJ154"/>
  <sheetViews>
    <sheetView showGridLines="0" tabSelected="1" view="pageBreakPreview" topLeftCell="AA1" zoomScaleNormal="90" workbookViewId="0"/>
  </sheetViews>
  <sheetFormatPr defaultColWidth="9" defaultRowHeight="12.75"/>
  <cols>
    <col min="1" max="1" width="2.7109375" hidden="1" customWidth="1"/>
    <col min="2" max="2" width="1.7109375" hidden="1" customWidth="1"/>
    <col min="3" max="3" width="8" hidden="1" customWidth="1"/>
    <col min="4" max="4" width="8.140625" hidden="1" customWidth="1"/>
    <col min="5" max="5" width="10.42578125" hidden="1" customWidth="1"/>
    <col min="6" max="6" width="7.28515625" hidden="1" customWidth="1"/>
    <col min="7" max="7" width="9" hidden="1" customWidth="1"/>
    <col min="8" max="10" width="9.140625" hidden="1" customWidth="1"/>
    <col min="11" max="11" width="1.42578125" hidden="1" customWidth="1"/>
    <col min="12" max="12" width="1.28515625" hidden="1" customWidth="1"/>
    <col min="13" max="13" width="11.28515625" hidden="1" customWidth="1"/>
    <col min="14" max="14" width="5.7109375" hidden="1" customWidth="1"/>
    <col min="15" max="15" width="6.140625" hidden="1" customWidth="1"/>
    <col min="16" max="16" width="6" hidden="1" customWidth="1"/>
    <col min="17" max="19" width="5.85546875" hidden="1" customWidth="1"/>
    <col min="20" max="20" width="5.7109375" hidden="1" customWidth="1"/>
    <col min="21" max="21" width="5.85546875" hidden="1" customWidth="1"/>
    <col min="22" max="22" width="6" hidden="1" customWidth="1"/>
    <col min="23" max="23" width="5.85546875" hidden="1" customWidth="1"/>
    <col min="24" max="24" width="6.85546875" hidden="1" customWidth="1"/>
    <col min="25" max="25" width="5.7109375" hidden="1" customWidth="1"/>
    <col min="26" max="26" width="2.28515625" hidden="1" customWidth="1"/>
    <col min="27" max="59" width="2.28515625" customWidth="1"/>
    <col min="60" max="60" width="11" customWidth="1"/>
    <col min="61" max="61" width="13.42578125" customWidth="1"/>
    <col min="62" max="62" width="3.140625" customWidth="1"/>
    <col min="63" max="63" width="11.85546875" customWidth="1"/>
    <col min="64" max="64" width="6.7109375" customWidth="1"/>
    <col min="65" max="65" width="8.7109375" customWidth="1"/>
    <col min="66" max="67" width="2.7109375" customWidth="1"/>
    <col min="68" max="68" width="0.140625" customWidth="1"/>
    <col min="69" max="69" width="0.42578125" customWidth="1"/>
    <col min="70" max="70" width="5" customWidth="1"/>
    <col min="71" max="72" width="0.140625" customWidth="1"/>
    <col min="73" max="73" width="2.7109375" customWidth="1"/>
    <col min="74" max="74" width="0.7109375" customWidth="1"/>
    <col min="75" max="80" width="2.7109375" customWidth="1"/>
    <col min="81" max="81" width="0.140625" customWidth="1"/>
    <col min="82" max="82" width="2.7109375" customWidth="1"/>
    <col min="83" max="83" width="9" customWidth="1"/>
    <col min="84" max="87" width="2.7109375" customWidth="1"/>
    <col min="88" max="89" width="2.7109375" hidden="1" customWidth="1"/>
    <col min="90" max="90" width="18.5703125" hidden="1" customWidth="1"/>
    <col min="91" max="91" width="9.42578125" hidden="1" customWidth="1"/>
    <col min="92" max="140" width="9.140625" hidden="1" customWidth="1"/>
  </cols>
  <sheetData>
    <row r="1" spans="1:94" ht="27.75">
      <c r="AA1" s="709"/>
      <c r="AB1" s="710"/>
      <c r="AC1" s="710"/>
      <c r="AD1" s="710"/>
      <c r="AE1" s="710"/>
      <c r="AF1" s="710"/>
      <c r="AG1" s="710"/>
      <c r="AH1" s="710"/>
      <c r="AI1" s="710"/>
      <c r="AJ1" s="710"/>
      <c r="AK1" s="814" t="s">
        <v>0</v>
      </c>
      <c r="AL1" s="814"/>
      <c r="AM1" s="814"/>
      <c r="AN1" s="814"/>
      <c r="AO1" s="814"/>
      <c r="AP1" s="814"/>
      <c r="AQ1" s="814"/>
      <c r="AR1" s="814"/>
      <c r="AS1" s="814"/>
      <c r="AT1" s="814"/>
      <c r="AU1" s="814"/>
      <c r="AV1" s="814"/>
      <c r="AW1" s="814"/>
      <c r="AX1" s="814"/>
      <c r="AY1" s="814"/>
      <c r="AZ1" s="814"/>
      <c r="BA1" s="814"/>
      <c r="BB1" s="814"/>
      <c r="BC1" s="814"/>
      <c r="BD1" s="814"/>
      <c r="BE1" s="814"/>
      <c r="BF1" s="814"/>
      <c r="BG1" s="814"/>
      <c r="BH1" s="814"/>
      <c r="BI1" s="814"/>
      <c r="BJ1" s="722"/>
    </row>
    <row r="2" spans="1:94" ht="13.5" customHeight="1">
      <c r="AA2" s="711"/>
      <c r="AK2" s="815" t="s">
        <v>1</v>
      </c>
      <c r="AL2" s="815"/>
      <c r="AM2" s="815"/>
      <c r="AN2" s="815"/>
      <c r="AO2" s="815"/>
      <c r="AP2" s="815"/>
      <c r="AQ2" s="815"/>
      <c r="AR2" s="815"/>
      <c r="AS2" s="815"/>
      <c r="AT2" s="815"/>
      <c r="AU2" s="815"/>
      <c r="AV2" s="815"/>
      <c r="AW2" s="815"/>
      <c r="AX2" s="815"/>
      <c r="AY2" s="815"/>
      <c r="AZ2" s="815"/>
      <c r="BA2" s="815"/>
      <c r="BB2" s="815"/>
      <c r="BC2" s="815"/>
      <c r="BD2" s="815"/>
      <c r="BE2" s="815"/>
      <c r="BF2" s="815"/>
      <c r="BG2" s="815"/>
      <c r="BH2" s="815"/>
      <c r="BI2" s="815"/>
      <c r="BJ2" s="106"/>
      <c r="BL2" s="781" t="s">
        <v>2</v>
      </c>
      <c r="BM2" s="782"/>
      <c r="BN2" s="782"/>
      <c r="BO2" s="782"/>
      <c r="BP2" s="782"/>
      <c r="BQ2" s="782"/>
      <c r="BR2" s="782"/>
      <c r="BS2" s="782"/>
      <c r="BT2" s="782"/>
      <c r="BU2" s="782"/>
      <c r="BV2" s="782"/>
      <c r="BW2" s="782"/>
      <c r="BX2" s="782"/>
      <c r="BY2" s="782"/>
      <c r="BZ2" s="782"/>
      <c r="CA2" s="782"/>
      <c r="CB2" s="782"/>
      <c r="CC2" s="782"/>
      <c r="CD2" s="782"/>
      <c r="CE2" s="783"/>
    </row>
    <row r="3" spans="1:94" ht="18.75" customHeight="1">
      <c r="AA3" s="711"/>
      <c r="AK3" s="815" t="s">
        <v>3</v>
      </c>
      <c r="AL3" s="815"/>
      <c r="AM3" s="815"/>
      <c r="AN3" s="815"/>
      <c r="AO3" s="815"/>
      <c r="AP3" s="815"/>
      <c r="AQ3" s="815"/>
      <c r="AR3" s="815"/>
      <c r="AS3" s="815"/>
      <c r="AT3" s="815"/>
      <c r="AU3" s="815"/>
      <c r="AV3" s="815"/>
      <c r="AW3" s="815"/>
      <c r="AX3" s="815"/>
      <c r="AY3" s="815"/>
      <c r="AZ3" s="815"/>
      <c r="BA3" s="815"/>
      <c r="BB3" s="815"/>
      <c r="BC3" s="815"/>
      <c r="BD3" s="815"/>
      <c r="BE3" s="815"/>
      <c r="BF3" s="815"/>
      <c r="BG3" s="815"/>
      <c r="BH3" s="815"/>
      <c r="BI3" s="815"/>
      <c r="BJ3" s="106"/>
      <c r="BL3" s="784"/>
      <c r="BM3" s="785"/>
      <c r="BN3" s="785"/>
      <c r="BO3" s="785"/>
      <c r="BP3" s="785"/>
      <c r="BQ3" s="785"/>
      <c r="BR3" s="785"/>
      <c r="BS3" s="785"/>
      <c r="BT3" s="785"/>
      <c r="BU3" s="785"/>
      <c r="BV3" s="785"/>
      <c r="BW3" s="785"/>
      <c r="BX3" s="785"/>
      <c r="BY3" s="785"/>
      <c r="BZ3" s="785"/>
      <c r="CA3" s="785"/>
      <c r="CB3" s="785"/>
      <c r="CC3" s="785"/>
      <c r="CD3" s="785"/>
      <c r="CE3" s="786"/>
    </row>
    <row r="4" spans="1:94" ht="10.5" customHeight="1">
      <c r="A4" s="787" t="s">
        <v>4</v>
      </c>
      <c r="B4" s="788"/>
      <c r="C4" s="788"/>
      <c r="D4" s="788"/>
      <c r="E4" s="788"/>
      <c r="F4" s="788"/>
      <c r="G4" s="788"/>
      <c r="H4" s="788"/>
      <c r="I4" s="788"/>
      <c r="J4" s="788"/>
      <c r="K4" s="788"/>
      <c r="L4" s="788"/>
      <c r="M4" s="788"/>
      <c r="N4" s="788"/>
      <c r="O4" s="788"/>
      <c r="P4" s="788"/>
      <c r="Q4" s="788"/>
      <c r="R4" s="788"/>
      <c r="S4" s="788"/>
      <c r="T4" s="789"/>
      <c r="AA4" s="712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105"/>
      <c r="BI4" s="105"/>
      <c r="BJ4" s="723"/>
      <c r="BL4" s="724"/>
      <c r="BM4" s="724"/>
      <c r="BN4" s="724"/>
      <c r="BO4" s="724"/>
      <c r="BP4" s="724"/>
      <c r="BQ4" s="724"/>
      <c r="BR4" s="724"/>
      <c r="BS4" s="724"/>
      <c r="BT4" s="724"/>
      <c r="BU4" s="724"/>
      <c r="BV4" s="724"/>
      <c r="BW4" s="724"/>
      <c r="BX4" s="724"/>
      <c r="BY4" s="724"/>
      <c r="BZ4" s="724"/>
      <c r="CA4" s="724"/>
      <c r="CB4" s="724"/>
      <c r="CC4" s="724"/>
      <c r="CD4" s="724"/>
      <c r="CE4" s="724"/>
    </row>
    <row r="5" spans="1:94" ht="19.5" customHeight="1">
      <c r="A5" s="790"/>
      <c r="B5" s="791"/>
      <c r="C5" s="791"/>
      <c r="D5" s="791"/>
      <c r="E5" s="791"/>
      <c r="F5" s="791"/>
      <c r="G5" s="791"/>
      <c r="H5" s="791"/>
      <c r="I5" s="791"/>
      <c r="J5" s="791"/>
      <c r="K5" s="791"/>
      <c r="L5" s="791"/>
      <c r="M5" s="791"/>
      <c r="N5" s="791"/>
      <c r="O5" s="791"/>
      <c r="P5" s="791"/>
      <c r="Q5" s="791"/>
      <c r="R5" s="791"/>
      <c r="S5" s="791"/>
      <c r="T5" s="792"/>
      <c r="U5" s="361"/>
      <c r="V5" s="361"/>
      <c r="W5" s="361"/>
      <c r="X5" s="361"/>
      <c r="Y5" s="361"/>
      <c r="AA5" s="816" t="s">
        <v>5</v>
      </c>
      <c r="AB5" s="816"/>
      <c r="AC5" s="816"/>
      <c r="AD5" s="816"/>
      <c r="AE5" s="816"/>
      <c r="AF5" s="816"/>
      <c r="AG5" s="816"/>
      <c r="AH5" s="816"/>
      <c r="AI5" s="816"/>
      <c r="AJ5" s="816"/>
      <c r="AK5" s="816"/>
      <c r="AL5" s="816"/>
      <c r="AM5" s="816"/>
      <c r="AN5" s="816"/>
      <c r="AO5" s="816"/>
      <c r="AP5" s="816"/>
      <c r="AQ5" s="816"/>
      <c r="AR5" s="816"/>
      <c r="AS5" s="816"/>
      <c r="AT5" s="816"/>
      <c r="AU5" s="816"/>
      <c r="AV5" s="816"/>
      <c r="AW5" s="816"/>
      <c r="AX5" s="816"/>
      <c r="AY5" s="816"/>
      <c r="AZ5" s="816"/>
      <c r="BA5" s="816"/>
      <c r="BB5" s="816"/>
      <c r="BC5" s="816"/>
      <c r="BD5" s="816"/>
      <c r="BE5" s="816"/>
      <c r="BF5" s="816"/>
      <c r="BG5" s="816"/>
      <c r="BH5" s="816"/>
      <c r="BI5" s="816"/>
      <c r="BL5" s="763" t="s">
        <v>4</v>
      </c>
      <c r="BM5" s="764"/>
      <c r="BN5" s="764"/>
      <c r="BO5" s="764"/>
      <c r="BP5" s="764"/>
      <c r="BQ5" s="764"/>
      <c r="BR5" s="764"/>
      <c r="BS5" s="764"/>
      <c r="BT5" s="764"/>
      <c r="BU5" s="764"/>
      <c r="BV5" s="764"/>
      <c r="BW5" s="764"/>
      <c r="BX5" s="764"/>
      <c r="BY5" s="764"/>
      <c r="BZ5" s="764"/>
      <c r="CA5" s="764"/>
      <c r="CB5" s="764"/>
      <c r="CC5" s="764"/>
      <c r="CD5" s="764"/>
      <c r="CE5" s="765"/>
    </row>
    <row r="6" spans="1:94" s="659" customFormat="1" ht="12" customHeight="1">
      <c r="A6" s="90"/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670"/>
      <c r="V6" s="670"/>
      <c r="W6" s="670"/>
      <c r="X6" s="670"/>
      <c r="Y6" s="670"/>
      <c r="Z6" s="90"/>
      <c r="AA6" s="713" t="s">
        <v>6</v>
      </c>
      <c r="AB6" s="714"/>
      <c r="AC6" s="714"/>
      <c r="AD6" s="714"/>
      <c r="AE6" s="714"/>
      <c r="AF6" s="714"/>
      <c r="AG6" s="714"/>
      <c r="AH6" s="714"/>
      <c r="AI6" s="714"/>
      <c r="AJ6" s="714"/>
      <c r="AK6" s="714"/>
      <c r="AL6" s="714"/>
      <c r="AM6" s="714"/>
      <c r="AN6" s="714"/>
      <c r="AO6" s="714"/>
      <c r="AP6" s="714"/>
      <c r="AQ6" s="714"/>
      <c r="AR6" s="714"/>
      <c r="AS6" s="714"/>
      <c r="AT6" s="714"/>
      <c r="AU6" s="714"/>
      <c r="AV6" s="714"/>
      <c r="AW6" s="714"/>
      <c r="AX6" s="714"/>
      <c r="AY6" s="714"/>
      <c r="AZ6" s="714"/>
      <c r="BA6" s="714"/>
      <c r="BB6" s="714"/>
      <c r="BC6" s="714"/>
      <c r="BD6" s="714"/>
      <c r="BE6" s="714"/>
      <c r="BF6" s="714"/>
      <c r="BG6" s="714"/>
      <c r="BH6" s="714"/>
      <c r="BI6" s="714"/>
      <c r="BJ6" s="725"/>
      <c r="BK6" s="726"/>
      <c r="BL6" s="766"/>
      <c r="BM6" s="767"/>
      <c r="BN6" s="767"/>
      <c r="BO6" s="767"/>
      <c r="BP6" s="767"/>
      <c r="BQ6" s="767"/>
      <c r="BR6" s="767"/>
      <c r="BS6" s="767"/>
      <c r="BT6" s="767"/>
      <c r="BU6" s="767"/>
      <c r="BV6" s="767"/>
      <c r="BW6" s="767"/>
      <c r="BX6" s="767"/>
      <c r="BY6" s="767"/>
      <c r="BZ6" s="767"/>
      <c r="CA6" s="767"/>
      <c r="CB6" s="767"/>
      <c r="CC6" s="767"/>
      <c r="CD6" s="767"/>
      <c r="CE6" s="768"/>
      <c r="CF6" s="90"/>
      <c r="CG6" s="90"/>
      <c r="CH6" s="90"/>
      <c r="CI6" s="90"/>
      <c r="CJ6" s="90"/>
      <c r="CK6" s="90"/>
      <c r="CL6" s="90"/>
    </row>
    <row r="7" spans="1:94" s="659" customFormat="1" ht="12" customHeight="1">
      <c r="A7" s="90"/>
      <c r="B7" s="90"/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667"/>
      <c r="V7" s="667"/>
      <c r="W7" s="667"/>
      <c r="X7" s="667"/>
      <c r="Y7" s="667"/>
      <c r="Z7" s="90"/>
      <c r="AA7" s="715" t="s">
        <v>7</v>
      </c>
      <c r="AB7" s="714"/>
      <c r="AC7" s="714"/>
      <c r="AD7" s="714"/>
      <c r="AE7" s="714"/>
      <c r="AF7" s="714"/>
      <c r="AG7" s="714"/>
      <c r="AH7" s="714"/>
      <c r="AI7" s="714"/>
      <c r="AJ7" s="714"/>
      <c r="AK7" s="714"/>
      <c r="AL7" s="714"/>
      <c r="AM7" s="714"/>
      <c r="AN7" s="714"/>
      <c r="AO7" s="714"/>
      <c r="AP7" s="714"/>
      <c r="AQ7" s="714"/>
      <c r="AR7" s="714"/>
      <c r="AS7" s="714"/>
      <c r="AT7" s="714"/>
      <c r="AU7" s="714"/>
      <c r="AV7" s="714"/>
      <c r="AW7" s="714"/>
      <c r="AX7" s="714"/>
      <c r="AY7" s="714"/>
      <c r="AZ7" s="714"/>
      <c r="BA7" s="714"/>
      <c r="BB7" s="714"/>
      <c r="BC7" s="714"/>
      <c r="BD7" s="714"/>
      <c r="BE7" s="714"/>
      <c r="BF7" s="714"/>
      <c r="BG7" s="714"/>
      <c r="BH7" s="714"/>
      <c r="BI7" s="714"/>
      <c r="BJ7" s="725"/>
      <c r="BK7" s="726"/>
      <c r="BL7" s="727"/>
      <c r="BM7" s="727"/>
      <c r="BN7" s="727"/>
      <c r="BO7" s="727"/>
      <c r="BP7" s="727"/>
      <c r="BQ7" s="727"/>
      <c r="BR7" s="727"/>
      <c r="BS7" s="727"/>
      <c r="BT7" s="727"/>
      <c r="BU7" s="727"/>
      <c r="BV7" s="727"/>
      <c r="BW7" s="727"/>
      <c r="BX7" s="727"/>
      <c r="BY7" s="727"/>
      <c r="BZ7" s="727"/>
      <c r="CA7" s="727"/>
      <c r="CB7" s="727"/>
      <c r="CC7" s="727"/>
      <c r="CD7" s="727"/>
      <c r="CE7" s="727"/>
      <c r="CF7" s="90"/>
      <c r="CG7" s="90"/>
      <c r="CH7" s="90"/>
      <c r="CI7" s="90"/>
      <c r="CJ7" s="90"/>
      <c r="CK7" s="90"/>
      <c r="CL7" s="90"/>
    </row>
    <row r="8" spans="1:94" s="659" customFormat="1" ht="16.5" customHeight="1">
      <c r="A8" s="660" t="s">
        <v>8</v>
      </c>
      <c r="B8" s="90"/>
      <c r="C8" s="90"/>
      <c r="D8" s="90"/>
      <c r="E8" s="90"/>
      <c r="F8" s="90"/>
      <c r="G8" s="90"/>
      <c r="H8" s="90"/>
      <c r="I8" s="90"/>
      <c r="J8" s="90"/>
      <c r="K8" s="90"/>
      <c r="L8" s="665"/>
      <c r="M8" s="666" t="s">
        <v>9</v>
      </c>
      <c r="N8" s="667"/>
      <c r="O8" s="667"/>
      <c r="P8" s="667"/>
      <c r="Q8" s="667"/>
      <c r="R8" s="667"/>
      <c r="S8" s="667"/>
      <c r="T8" s="667"/>
      <c r="U8" s="364"/>
      <c r="V8" s="398"/>
      <c r="W8" s="817" t="s">
        <v>10</v>
      </c>
      <c r="X8" s="818"/>
      <c r="Y8" s="818"/>
      <c r="Z8" s="90"/>
      <c r="AA8" s="713" t="s">
        <v>11</v>
      </c>
      <c r="AB8" s="714"/>
      <c r="AC8" s="714"/>
      <c r="AD8" s="714"/>
      <c r="AE8" s="714"/>
      <c r="AF8" s="714"/>
      <c r="AG8" s="714"/>
      <c r="AH8" s="714"/>
      <c r="AI8" s="714"/>
      <c r="AJ8" s="714"/>
      <c r="AK8" s="714"/>
      <c r="AL8" s="714"/>
      <c r="AM8" s="714"/>
      <c r="AN8" s="714"/>
      <c r="AO8" s="714"/>
      <c r="AP8" s="714"/>
      <c r="AQ8" s="714"/>
      <c r="AR8" s="714"/>
      <c r="AS8" s="714"/>
      <c r="AT8" s="714"/>
      <c r="AU8" s="714"/>
      <c r="AV8" s="714"/>
      <c r="AW8" s="714"/>
      <c r="AX8" s="714"/>
      <c r="AY8" s="714"/>
      <c r="AZ8" s="714"/>
      <c r="BA8" s="714"/>
      <c r="BB8" s="714"/>
      <c r="BC8" s="714"/>
      <c r="BD8" s="714"/>
      <c r="BE8" s="714"/>
      <c r="BF8" s="714"/>
      <c r="BG8" s="714"/>
      <c r="BH8" s="714"/>
      <c r="BI8" s="714"/>
      <c r="BJ8" s="725"/>
      <c r="BK8" s="726"/>
      <c r="BL8" s="724"/>
      <c r="BM8" s="724"/>
      <c r="BN8" s="724"/>
      <c r="BO8" s="724"/>
      <c r="BP8" s="724"/>
      <c r="BQ8" s="724"/>
      <c r="BR8" s="724"/>
      <c r="BS8" s="724"/>
      <c r="BT8" s="724"/>
      <c r="BU8" s="724"/>
      <c r="BV8" s="724"/>
      <c r="BW8" s="724"/>
      <c r="BX8" s="724"/>
      <c r="BY8" s="724"/>
      <c r="BZ8" s="724"/>
      <c r="CA8" s="724"/>
      <c r="CB8" s="724"/>
      <c r="CC8" s="724"/>
      <c r="CD8" s="724"/>
      <c r="CE8" s="724"/>
      <c r="CF8" s="90"/>
      <c r="CG8" s="90"/>
      <c r="CH8" s="90"/>
      <c r="CI8" s="90"/>
      <c r="CJ8" s="90"/>
      <c r="CK8" s="90"/>
      <c r="CL8" s="90"/>
    </row>
    <row r="9" spans="1:94" s="90" customFormat="1" ht="18" customHeight="1">
      <c r="A9" s="661">
        <v>1</v>
      </c>
      <c r="D9" s="659" t="e">
        <f>#REF!</f>
        <v>#REF!</v>
      </c>
      <c r="E9" s="659"/>
      <c r="F9" s="659"/>
      <c r="G9" s="659"/>
      <c r="H9" s="659"/>
      <c r="I9" s="659"/>
      <c r="J9" s="659"/>
      <c r="K9" s="659"/>
      <c r="L9" s="668"/>
      <c r="M9" s="669"/>
      <c r="N9" s="670"/>
      <c r="O9" s="670"/>
      <c r="P9" s="670"/>
      <c r="Q9" s="670"/>
      <c r="R9" s="670"/>
      <c r="S9" s="670"/>
      <c r="T9" s="670"/>
      <c r="U9" s="682">
        <v>4800</v>
      </c>
      <c r="V9" s="683">
        <v>5400</v>
      </c>
      <c r="W9" s="684">
        <v>5400</v>
      </c>
      <c r="X9" s="685">
        <v>6600</v>
      </c>
      <c r="Y9" s="716">
        <v>7600</v>
      </c>
      <c r="AA9" s="713" t="s">
        <v>12</v>
      </c>
      <c r="AB9" s="714"/>
      <c r="AC9" s="714"/>
      <c r="AD9" s="714"/>
      <c r="AE9" s="714"/>
      <c r="AF9" s="714"/>
      <c r="AG9" s="714"/>
      <c r="AH9" s="714"/>
      <c r="AI9" s="714"/>
      <c r="AJ9" s="714"/>
      <c r="AK9" s="714"/>
      <c r="AL9" s="714"/>
      <c r="AM9" s="714"/>
      <c r="AN9" s="714"/>
      <c r="AO9" s="714"/>
      <c r="AP9" s="714"/>
      <c r="AQ9" s="714"/>
      <c r="AR9" s="714"/>
      <c r="AS9" s="714"/>
      <c r="AT9" s="714"/>
      <c r="AU9" s="714"/>
      <c r="AV9" s="714"/>
      <c r="AW9" s="714"/>
      <c r="AX9" s="714"/>
      <c r="AY9" s="714"/>
      <c r="AZ9" s="714"/>
      <c r="BA9" s="714"/>
      <c r="BB9" s="714"/>
      <c r="BC9" s="714"/>
      <c r="BD9" s="714"/>
      <c r="BE9" s="714"/>
      <c r="BF9" s="714"/>
      <c r="BG9" s="714"/>
      <c r="BH9" s="714"/>
      <c r="BI9" s="714"/>
      <c r="BJ9" s="725"/>
      <c r="BK9" s="726"/>
      <c r="BL9" s="757" t="s">
        <v>13</v>
      </c>
      <c r="BM9" s="758"/>
      <c r="BN9" s="758"/>
      <c r="BO9" s="758"/>
      <c r="BP9" s="758"/>
      <c r="BQ9" s="758"/>
      <c r="BR9" s="758"/>
      <c r="BS9" s="758"/>
      <c r="BT9" s="758"/>
      <c r="BU9" s="758"/>
      <c r="BV9" s="758"/>
      <c r="BW9" s="758"/>
      <c r="BX9" s="758"/>
      <c r="BY9" s="758"/>
      <c r="BZ9" s="758"/>
      <c r="CA9" s="758"/>
      <c r="CB9" s="758"/>
      <c r="CC9" s="758"/>
      <c r="CD9" s="758"/>
      <c r="CE9" s="759"/>
      <c r="CP9" s="90" t="e">
        <f>#REF!</f>
        <v>#REF!</v>
      </c>
    </row>
    <row r="10" spans="1:94" s="90" customFormat="1" ht="16.5" customHeight="1">
      <c r="A10" s="662"/>
      <c r="D10" s="659"/>
      <c r="E10" s="659"/>
      <c r="F10" s="659"/>
      <c r="G10" s="659"/>
      <c r="H10" s="659"/>
      <c r="I10" s="659"/>
      <c r="J10" s="659"/>
      <c r="K10" s="659"/>
      <c r="L10" s="671"/>
      <c r="M10" s="672" t="s">
        <v>14</v>
      </c>
      <c r="N10" s="807" t="s">
        <v>15</v>
      </c>
      <c r="O10" s="808"/>
      <c r="P10" s="808"/>
      <c r="Q10" s="808"/>
      <c r="R10" s="809"/>
      <c r="S10" s="363" t="s">
        <v>16</v>
      </c>
      <c r="T10" s="364"/>
      <c r="U10" s="686">
        <v>8</v>
      </c>
      <c r="V10" s="687">
        <v>9</v>
      </c>
      <c r="W10" s="688">
        <v>10</v>
      </c>
      <c r="X10" s="689">
        <v>11</v>
      </c>
      <c r="Y10" s="717">
        <v>12</v>
      </c>
      <c r="AA10" s="713" t="s">
        <v>17</v>
      </c>
      <c r="AB10" s="714"/>
      <c r="AC10" s="714"/>
      <c r="AD10" s="714"/>
      <c r="AE10" s="714"/>
      <c r="AF10" s="714"/>
      <c r="AG10" s="714"/>
      <c r="AH10" s="714"/>
      <c r="AI10" s="714"/>
      <c r="AJ10" s="714"/>
      <c r="AK10" s="714"/>
      <c r="AL10" s="714"/>
      <c r="AM10" s="714"/>
      <c r="AN10" s="714"/>
      <c r="AO10" s="714"/>
      <c r="AP10" s="714"/>
      <c r="AQ10" s="714"/>
      <c r="AR10" s="714"/>
      <c r="AS10" s="714"/>
      <c r="AT10" s="714"/>
      <c r="AU10" s="714"/>
      <c r="AV10" s="714"/>
      <c r="AW10" s="714"/>
      <c r="AX10" s="714"/>
      <c r="AY10" s="714"/>
      <c r="AZ10" s="714"/>
      <c r="BA10" s="721"/>
      <c r="BB10" s="714"/>
      <c r="BC10" s="714"/>
      <c r="BD10" s="714"/>
      <c r="BE10" s="714"/>
      <c r="BF10" s="714"/>
      <c r="BG10" s="714"/>
      <c r="BH10" s="714"/>
      <c r="BI10" s="714"/>
      <c r="BJ10" s="725"/>
      <c r="BK10" s="726"/>
      <c r="BL10" s="760"/>
      <c r="BM10" s="761"/>
      <c r="BN10" s="761"/>
      <c r="BO10" s="761"/>
      <c r="BP10" s="761"/>
      <c r="BQ10" s="761"/>
      <c r="BR10" s="761"/>
      <c r="BS10" s="761"/>
      <c r="BT10" s="761"/>
      <c r="BU10" s="761"/>
      <c r="BV10" s="761"/>
      <c r="BW10" s="761"/>
      <c r="BX10" s="761"/>
      <c r="BY10" s="761"/>
      <c r="BZ10" s="761"/>
      <c r="CA10" s="761"/>
      <c r="CB10" s="761"/>
      <c r="CC10" s="761"/>
      <c r="CD10" s="761"/>
      <c r="CE10" s="762"/>
      <c r="CP10" s="90" t="e">
        <f>#REF!</f>
        <v>#REF!</v>
      </c>
    </row>
    <row r="11" spans="1:94" s="90" customFormat="1" ht="16.5" customHeight="1">
      <c r="A11" s="662"/>
      <c r="D11" s="659"/>
      <c r="E11" s="659"/>
      <c r="F11" s="659"/>
      <c r="G11" s="659"/>
      <c r="H11" s="659"/>
      <c r="I11" s="659"/>
      <c r="J11" s="659"/>
      <c r="K11" s="659"/>
      <c r="L11" s="671"/>
      <c r="M11" s="672"/>
      <c r="N11" s="673"/>
      <c r="O11" s="673"/>
      <c r="P11" s="673"/>
      <c r="Q11" s="673"/>
      <c r="R11" s="690"/>
      <c r="S11" s="691"/>
      <c r="T11" s="691"/>
      <c r="U11" s="692"/>
      <c r="V11" s="693"/>
      <c r="W11" s="694"/>
      <c r="X11" s="695"/>
      <c r="Y11" s="718"/>
      <c r="AA11" s="713" t="s">
        <v>18</v>
      </c>
      <c r="AB11" s="714"/>
      <c r="AC11" s="714"/>
      <c r="AD11" s="714"/>
      <c r="AE11" s="714"/>
      <c r="AF11" s="714"/>
      <c r="AG11" s="714"/>
      <c r="AH11" s="714"/>
      <c r="AI11" s="714"/>
      <c r="AJ11" s="714"/>
      <c r="AK11" s="714"/>
      <c r="AL11" s="714"/>
      <c r="AM11" s="714"/>
      <c r="AN11" s="714"/>
      <c r="AO11" s="714"/>
      <c r="AP11" s="714"/>
      <c r="AQ11" s="714"/>
      <c r="AR11" s="714"/>
      <c r="AS11" s="714"/>
      <c r="AT11" s="714"/>
      <c r="AU11" s="714"/>
      <c r="AV11" s="714"/>
      <c r="AW11" s="714"/>
      <c r="AX11" s="714"/>
      <c r="AY11" s="714"/>
      <c r="AZ11" s="714"/>
      <c r="BA11" s="721"/>
      <c r="BB11" s="714"/>
      <c r="BC11" s="714"/>
      <c r="BD11" s="714"/>
      <c r="BE11" s="714"/>
      <c r="BF11" s="714"/>
      <c r="BG11" s="714"/>
      <c r="BH11" s="714"/>
      <c r="BI11" s="714"/>
      <c r="BJ11" s="725"/>
      <c r="BK11" s="726"/>
      <c r="BL11" s="728"/>
      <c r="BM11" s="728"/>
      <c r="BN11" s="728"/>
      <c r="BO11" s="728"/>
      <c r="BP11" s="728"/>
      <c r="BQ11" s="728"/>
      <c r="BR11" s="728"/>
      <c r="BS11" s="728"/>
      <c r="BT11" s="728"/>
      <c r="BU11" s="728"/>
      <c r="BV11" s="728"/>
      <c r="BW11" s="728"/>
      <c r="BX11" s="728"/>
      <c r="BY11" s="728"/>
      <c r="BZ11" s="728"/>
      <c r="CA11" s="728"/>
      <c r="CB11" s="728"/>
      <c r="CC11" s="728"/>
      <c r="CD11" s="728"/>
      <c r="CE11" s="728"/>
    </row>
    <row r="12" spans="1:94" s="90" customFormat="1" ht="15.75" customHeight="1">
      <c r="A12" s="663">
        <v>2</v>
      </c>
      <c r="D12" s="664"/>
      <c r="L12" s="674"/>
      <c r="M12" s="675" t="s">
        <v>19</v>
      </c>
      <c r="N12" s="676">
        <v>1800</v>
      </c>
      <c r="O12" s="677">
        <v>1900</v>
      </c>
      <c r="P12" s="677">
        <v>2000</v>
      </c>
      <c r="Q12" s="696">
        <v>2400</v>
      </c>
      <c r="R12" s="697">
        <v>2800</v>
      </c>
      <c r="S12" s="698">
        <v>4200</v>
      </c>
      <c r="T12" s="682">
        <v>4600</v>
      </c>
      <c r="U12" s="699">
        <v>47600</v>
      </c>
      <c r="V12" s="700">
        <v>53100</v>
      </c>
      <c r="W12" s="701">
        <v>56100</v>
      </c>
      <c r="X12" s="702">
        <v>67700</v>
      </c>
      <c r="Y12" s="719">
        <v>78800</v>
      </c>
      <c r="AA12" s="713" t="s">
        <v>20</v>
      </c>
      <c r="AB12" s="714"/>
      <c r="AC12" s="714"/>
      <c r="AD12" s="714"/>
      <c r="AE12" s="714"/>
      <c r="AF12" s="714"/>
      <c r="AG12" s="714"/>
      <c r="AH12" s="714"/>
      <c r="AI12" s="714"/>
      <c r="AJ12" s="714"/>
      <c r="AK12" s="714"/>
      <c r="AL12" s="714"/>
      <c r="AM12" s="714"/>
      <c r="AN12" s="714"/>
      <c r="AO12" s="714"/>
      <c r="AP12" s="714"/>
      <c r="AQ12" s="714"/>
      <c r="AR12" s="714"/>
      <c r="AS12" s="714"/>
      <c r="AT12" s="714"/>
      <c r="AU12" s="714"/>
      <c r="AV12" s="714"/>
      <c r="AW12" s="714"/>
      <c r="AX12" s="714"/>
      <c r="AY12" s="714"/>
      <c r="AZ12" s="714"/>
      <c r="BA12" s="714"/>
      <c r="BB12" s="714"/>
      <c r="BC12" s="714"/>
      <c r="BD12" s="714"/>
      <c r="BE12" s="714"/>
      <c r="BF12" s="714"/>
      <c r="BG12" s="714"/>
      <c r="BH12" s="714"/>
      <c r="BI12" s="714"/>
      <c r="BJ12" s="725"/>
      <c r="BK12" s="726"/>
      <c r="BL12" s="729"/>
      <c r="BM12" s="729"/>
      <c r="BN12" s="729"/>
      <c r="BO12" s="729"/>
      <c r="BP12" s="729"/>
      <c r="BQ12" s="729"/>
      <c r="BR12" s="729"/>
      <c r="BS12" s="729"/>
      <c r="BT12" s="729"/>
      <c r="BU12" s="729"/>
      <c r="BV12" s="729"/>
      <c r="BW12" s="729"/>
      <c r="BX12" s="729"/>
      <c r="BY12" s="729"/>
      <c r="BZ12" s="729"/>
      <c r="CA12" s="729"/>
      <c r="CB12" s="729"/>
      <c r="CC12" s="729"/>
      <c r="CD12" s="729"/>
      <c r="CE12" s="729"/>
      <c r="CP12" s="90" t="e">
        <f>#REF!</f>
        <v>#REF!</v>
      </c>
    </row>
    <row r="13" spans="1:94" s="90" customFormat="1" ht="15" customHeight="1">
      <c r="A13" s="663">
        <v>3</v>
      </c>
      <c r="C13" s="90" t="e">
        <f>#REF!</f>
        <v>#REF!</v>
      </c>
      <c r="D13" s="90" t="e">
        <f>#REF!</f>
        <v>#REF!</v>
      </c>
      <c r="F13" s="90" t="e">
        <f>ROUND((D13)*0.1,0)</f>
        <v>#REF!</v>
      </c>
      <c r="L13" s="678"/>
      <c r="M13" s="679" t="s">
        <v>21</v>
      </c>
      <c r="N13" s="680">
        <v>1</v>
      </c>
      <c r="O13" s="681">
        <v>2</v>
      </c>
      <c r="P13" s="681">
        <v>3</v>
      </c>
      <c r="Q13" s="681">
        <v>4</v>
      </c>
      <c r="R13" s="703">
        <v>5</v>
      </c>
      <c r="S13" s="704">
        <v>6</v>
      </c>
      <c r="T13" s="686">
        <v>7</v>
      </c>
      <c r="U13" s="705">
        <v>49000</v>
      </c>
      <c r="V13" s="706">
        <v>54700</v>
      </c>
      <c r="W13" s="707">
        <v>57800</v>
      </c>
      <c r="X13" s="708">
        <v>69700</v>
      </c>
      <c r="Y13" s="720">
        <v>81200</v>
      </c>
      <c r="AA13" s="715" t="s">
        <v>22</v>
      </c>
      <c r="AB13" s="714"/>
      <c r="AC13" s="714"/>
      <c r="AD13" s="714"/>
      <c r="AE13" s="714"/>
      <c r="AF13" s="714"/>
      <c r="AG13" s="714"/>
      <c r="AH13" s="714"/>
      <c r="AI13" s="714"/>
      <c r="AJ13" s="714"/>
      <c r="AK13" s="714"/>
      <c r="AL13" s="714"/>
      <c r="AM13" s="714"/>
      <c r="AN13" s="714"/>
      <c r="AO13" s="714"/>
      <c r="AP13" s="714"/>
      <c r="AQ13" s="714"/>
      <c r="AR13" s="714"/>
      <c r="AS13" s="714"/>
      <c r="AT13" s="714"/>
      <c r="AU13" s="714"/>
      <c r="AV13" s="714"/>
      <c r="AW13" s="714"/>
      <c r="AX13" s="714"/>
      <c r="AY13" s="714"/>
      <c r="AZ13" s="714"/>
      <c r="BA13" s="714"/>
      <c r="BB13" s="714"/>
      <c r="BC13" s="714"/>
      <c r="BD13" s="714"/>
      <c r="BE13" s="714"/>
      <c r="BF13" s="714"/>
      <c r="BG13" s="714"/>
      <c r="BH13" s="714"/>
      <c r="BI13" s="714"/>
      <c r="BJ13" s="725"/>
      <c r="BK13" s="726"/>
      <c r="BL13" s="769" t="s">
        <v>23</v>
      </c>
      <c r="BM13" s="770"/>
      <c r="BN13" s="770"/>
      <c r="BO13" s="770"/>
      <c r="BP13" s="770"/>
      <c r="BQ13" s="770"/>
      <c r="BR13" s="770"/>
      <c r="BS13" s="770"/>
      <c r="BT13" s="771"/>
      <c r="BU13" s="730"/>
      <c r="BV13" s="775" t="s">
        <v>24</v>
      </c>
      <c r="BW13" s="776"/>
      <c r="BX13" s="776"/>
      <c r="BY13" s="776"/>
      <c r="BZ13" s="776"/>
      <c r="CA13" s="776"/>
      <c r="CB13" s="776"/>
      <c r="CC13" s="776"/>
      <c r="CD13" s="776"/>
      <c r="CE13" s="777"/>
      <c r="CP13" s="90" t="e">
        <f>#REF!</f>
        <v>#REF!</v>
      </c>
    </row>
    <row r="14" spans="1:94" ht="21" customHeight="1">
      <c r="A14" s="460"/>
      <c r="D14" s="589"/>
      <c r="H14" t="e">
        <f>#REF!</f>
        <v>#REF!</v>
      </c>
      <c r="L14" s="623"/>
      <c r="M14" s="378">
        <v>1</v>
      </c>
      <c r="N14" s="379">
        <v>18000</v>
      </c>
      <c r="O14" s="380">
        <v>19900</v>
      </c>
      <c r="P14" s="380">
        <v>21700</v>
      </c>
      <c r="Q14" s="380">
        <v>25500</v>
      </c>
      <c r="R14" s="381">
        <v>29200</v>
      </c>
      <c r="S14" s="382">
        <v>35400</v>
      </c>
      <c r="T14" s="383">
        <v>44900</v>
      </c>
      <c r="U14" s="389">
        <v>50500</v>
      </c>
      <c r="V14" s="411">
        <v>56300</v>
      </c>
      <c r="W14" s="412">
        <v>59500</v>
      </c>
      <c r="X14" s="413">
        <v>71800</v>
      </c>
      <c r="Y14" s="641">
        <v>83600</v>
      </c>
      <c r="AA14" s="806" t="s">
        <v>25</v>
      </c>
      <c r="AB14" s="806"/>
      <c r="AC14" s="806"/>
      <c r="AD14" s="806"/>
      <c r="AE14" s="806"/>
      <c r="AF14" s="806"/>
      <c r="AG14" s="806"/>
      <c r="AH14" s="806"/>
      <c r="AI14" s="806"/>
      <c r="AJ14" s="806"/>
      <c r="AK14" s="806"/>
      <c r="AL14" s="806"/>
      <c r="AM14" s="806"/>
      <c r="AN14" s="806"/>
      <c r="AO14" s="806"/>
      <c r="AP14" s="806"/>
      <c r="AQ14" s="806"/>
      <c r="AR14" s="806"/>
      <c r="AS14" s="806"/>
      <c r="AT14" s="806"/>
      <c r="AU14" s="806"/>
      <c r="AV14" s="806"/>
      <c r="AW14" s="806"/>
      <c r="AX14" s="806"/>
      <c r="AY14" s="806"/>
      <c r="AZ14" s="806"/>
      <c r="BA14" s="806"/>
      <c r="BB14" s="806"/>
      <c r="BC14" s="806"/>
      <c r="BD14" s="806"/>
      <c r="BE14" s="806"/>
      <c r="BF14" s="806"/>
      <c r="BG14" s="806"/>
      <c r="BH14" s="806"/>
      <c r="BI14" s="806"/>
      <c r="BJ14" s="806"/>
      <c r="BL14" s="772"/>
      <c r="BM14" s="773"/>
      <c r="BN14" s="773"/>
      <c r="BO14" s="773"/>
      <c r="BP14" s="773"/>
      <c r="BQ14" s="773"/>
      <c r="BR14" s="773"/>
      <c r="BS14" s="773"/>
      <c r="BT14" s="774"/>
      <c r="BU14" s="653"/>
      <c r="BV14" s="778"/>
      <c r="BW14" s="779"/>
      <c r="BX14" s="779"/>
      <c r="BY14" s="779"/>
      <c r="BZ14" s="779"/>
      <c r="CA14" s="779"/>
      <c r="CB14" s="779"/>
      <c r="CC14" s="779"/>
      <c r="CD14" s="779"/>
      <c r="CE14" s="780"/>
      <c r="CP14" t="e">
        <f>#REF!</f>
        <v>#REF!</v>
      </c>
    </row>
    <row r="15" spans="1:94" ht="13.5" customHeight="1">
      <c r="A15" s="460"/>
      <c r="H15" t="e">
        <f>#REF!</f>
        <v>#REF!</v>
      </c>
      <c r="L15" s="624"/>
      <c r="M15" s="384">
        <v>2</v>
      </c>
      <c r="N15" s="385">
        <v>18500</v>
      </c>
      <c r="O15" s="386">
        <v>20500</v>
      </c>
      <c r="P15" s="386">
        <v>22400</v>
      </c>
      <c r="Q15" s="386">
        <v>26300</v>
      </c>
      <c r="R15" s="387">
        <v>30100</v>
      </c>
      <c r="S15" s="388">
        <v>36500</v>
      </c>
      <c r="T15" s="389">
        <v>46200</v>
      </c>
      <c r="U15" s="389">
        <v>52000</v>
      </c>
      <c r="V15" s="411">
        <v>58000</v>
      </c>
      <c r="W15" s="412">
        <v>61300</v>
      </c>
      <c r="X15" s="413">
        <v>74000</v>
      </c>
      <c r="Y15" s="641">
        <v>86100</v>
      </c>
      <c r="AA15" s="806"/>
      <c r="AB15" s="806"/>
      <c r="AC15" s="806"/>
      <c r="AD15" s="806"/>
      <c r="AE15" s="806"/>
      <c r="AF15" s="806"/>
      <c r="AG15" s="806"/>
      <c r="AH15" s="806"/>
      <c r="AI15" s="806"/>
      <c r="AJ15" s="806"/>
      <c r="AK15" s="806"/>
      <c r="AL15" s="806"/>
      <c r="AM15" s="806"/>
      <c r="AN15" s="806"/>
      <c r="AO15" s="806"/>
      <c r="AP15" s="806"/>
      <c r="AQ15" s="806"/>
      <c r="AR15" s="806"/>
      <c r="AS15" s="806"/>
      <c r="AT15" s="806"/>
      <c r="AU15" s="806"/>
      <c r="AV15" s="806"/>
      <c r="AW15" s="806"/>
      <c r="AX15" s="806"/>
      <c r="AY15" s="806"/>
      <c r="AZ15" s="806"/>
      <c r="BA15" s="806"/>
      <c r="BB15" s="806"/>
      <c r="BC15" s="806"/>
      <c r="BD15" s="806"/>
      <c r="BE15" s="806"/>
      <c r="BF15" s="806"/>
      <c r="BG15" s="806"/>
      <c r="BH15" s="806"/>
      <c r="BI15" s="806"/>
      <c r="BJ15" s="806"/>
      <c r="BL15" s="642"/>
      <c r="BM15" s="642"/>
      <c r="BN15" s="642"/>
      <c r="BO15" s="642"/>
      <c r="BP15" s="642"/>
      <c r="BQ15" s="642"/>
      <c r="BR15" s="642"/>
      <c r="BS15" s="642"/>
      <c r="BT15" s="642"/>
      <c r="BU15" s="642"/>
      <c r="BV15" s="642"/>
      <c r="BW15" s="642"/>
      <c r="BX15" s="642"/>
      <c r="BY15" s="642"/>
      <c r="BZ15" s="642"/>
      <c r="CA15" s="642"/>
      <c r="CB15" s="642"/>
      <c r="CC15" s="642"/>
      <c r="CD15" s="642"/>
      <c r="CE15" s="642"/>
      <c r="CP15" t="e">
        <f>#REF!</f>
        <v>#REF!</v>
      </c>
    </row>
    <row r="16" spans="1:94" ht="18" customHeight="1">
      <c r="A16" s="460"/>
      <c r="D16" t="e">
        <f>#REF!</f>
        <v>#REF!</v>
      </c>
      <c r="L16" s="624"/>
      <c r="M16" s="384">
        <v>3</v>
      </c>
      <c r="N16" s="385">
        <v>19100</v>
      </c>
      <c r="O16" s="386">
        <v>21100</v>
      </c>
      <c r="P16" s="386">
        <v>23100</v>
      </c>
      <c r="Q16" s="386">
        <v>27100</v>
      </c>
      <c r="R16" s="387">
        <v>31000</v>
      </c>
      <c r="S16" s="388">
        <v>37600</v>
      </c>
      <c r="T16" s="389">
        <v>47600</v>
      </c>
      <c r="U16" s="389">
        <v>53600</v>
      </c>
      <c r="V16" s="411">
        <v>59700</v>
      </c>
      <c r="W16" s="412">
        <v>63100</v>
      </c>
      <c r="X16" s="413">
        <v>76200</v>
      </c>
      <c r="Y16" s="641">
        <v>88700</v>
      </c>
      <c r="AA16" s="810" t="s">
        <v>26</v>
      </c>
      <c r="AB16" s="810"/>
      <c r="AC16" s="810"/>
      <c r="AD16" s="810"/>
      <c r="AE16" s="810"/>
      <c r="AF16" s="810"/>
      <c r="AG16" s="810"/>
      <c r="AH16" s="810"/>
      <c r="AI16" s="810"/>
      <c r="AJ16" s="810"/>
      <c r="AK16" s="810"/>
      <c r="AL16" s="810"/>
      <c r="AM16" s="810"/>
      <c r="AN16" s="810"/>
      <c r="AO16" s="810"/>
      <c r="AP16" s="810"/>
      <c r="AQ16" s="810"/>
      <c r="AR16" s="810"/>
      <c r="AS16" s="810"/>
      <c r="AT16" s="810"/>
      <c r="AU16" s="810"/>
      <c r="AV16" s="810"/>
      <c r="AW16" s="810"/>
      <c r="AX16" s="810"/>
      <c r="AY16" s="810"/>
      <c r="AZ16" s="810"/>
      <c r="BA16" s="810"/>
      <c r="BB16" s="810"/>
      <c r="BC16" s="810"/>
      <c r="BD16" s="810"/>
      <c r="BE16" s="810"/>
      <c r="BF16" s="810"/>
      <c r="BG16" s="810"/>
      <c r="BH16" s="810"/>
      <c r="BI16" s="810"/>
      <c r="BJ16" s="810"/>
      <c r="BL16" s="799" t="s">
        <v>27</v>
      </c>
      <c r="BM16" s="800"/>
      <c r="BN16" s="800"/>
      <c r="BO16" s="800"/>
      <c r="BP16" s="800"/>
      <c r="BQ16" s="800"/>
      <c r="BR16" s="800"/>
      <c r="BS16" s="800"/>
      <c r="BT16" s="800"/>
      <c r="BU16" s="801"/>
      <c r="BV16" s="799" t="s">
        <v>28</v>
      </c>
      <c r="BW16" s="800"/>
      <c r="BX16" s="800"/>
      <c r="BY16" s="800"/>
      <c r="BZ16" s="800"/>
      <c r="CA16" s="800"/>
      <c r="CB16" s="800"/>
      <c r="CC16" s="800"/>
      <c r="CD16" s="800"/>
      <c r="CE16" s="801"/>
      <c r="CP16" t="e">
        <f>#REF!</f>
        <v>#REF!</v>
      </c>
    </row>
    <row r="17" spans="1:94" ht="18.75" customHeight="1">
      <c r="A17" s="460">
        <v>5</v>
      </c>
      <c r="D17" s="358" t="e">
        <f>#REF!</f>
        <v>#REF!</v>
      </c>
      <c r="G17" s="7"/>
      <c r="J17" t="e">
        <f>#REF!</f>
        <v>#REF!</v>
      </c>
      <c r="L17" s="624"/>
      <c r="M17" s="384">
        <v>4</v>
      </c>
      <c r="N17" s="385">
        <v>19700</v>
      </c>
      <c r="O17" s="386">
        <v>21700</v>
      </c>
      <c r="P17" s="386">
        <v>23800</v>
      </c>
      <c r="Q17" s="386">
        <v>27900</v>
      </c>
      <c r="R17" s="387">
        <v>31500</v>
      </c>
      <c r="S17" s="388">
        <v>38700</v>
      </c>
      <c r="T17" s="389">
        <v>49000</v>
      </c>
      <c r="U17" s="389">
        <v>55200</v>
      </c>
      <c r="V17" s="411">
        <v>61500</v>
      </c>
      <c r="W17" s="412">
        <v>65000</v>
      </c>
      <c r="X17" s="413">
        <v>78500</v>
      </c>
      <c r="Y17" s="641">
        <v>91400</v>
      </c>
      <c r="AA17" s="805" t="s">
        <v>29</v>
      </c>
      <c r="AB17" s="805"/>
      <c r="AC17" s="805"/>
      <c r="AD17" s="805"/>
      <c r="AE17" s="805"/>
      <c r="AF17" s="805"/>
      <c r="AG17" s="805"/>
      <c r="AH17" s="805"/>
      <c r="AI17" s="805"/>
      <c r="AJ17" s="805"/>
      <c r="AK17" s="805"/>
      <c r="AL17" s="805"/>
      <c r="AM17" s="805"/>
      <c r="AN17" s="805"/>
      <c r="AO17" s="805"/>
      <c r="AP17" s="805"/>
      <c r="AQ17" s="805"/>
      <c r="AR17" s="805"/>
      <c r="AS17" s="805"/>
      <c r="AT17" s="805"/>
      <c r="AU17" s="805"/>
      <c r="AV17" s="805"/>
      <c r="AW17" s="805"/>
      <c r="AX17" s="805"/>
      <c r="AY17" s="805"/>
      <c r="AZ17" s="805"/>
      <c r="BA17" s="805"/>
      <c r="BB17" s="805"/>
      <c r="BC17" s="805"/>
      <c r="BD17" s="805"/>
      <c r="BE17" s="805"/>
      <c r="BF17" s="805"/>
      <c r="BG17" s="805"/>
      <c r="BH17" s="805"/>
      <c r="BI17" s="805"/>
      <c r="BJ17" s="805"/>
      <c r="BL17" s="802"/>
      <c r="BM17" s="803"/>
      <c r="BN17" s="803"/>
      <c r="BO17" s="803"/>
      <c r="BP17" s="803"/>
      <c r="BQ17" s="803"/>
      <c r="BR17" s="803"/>
      <c r="BS17" s="803"/>
      <c r="BT17" s="803"/>
      <c r="BU17" s="804"/>
      <c r="BV17" s="802"/>
      <c r="BW17" s="803"/>
      <c r="BX17" s="803"/>
      <c r="BY17" s="803"/>
      <c r="BZ17" s="803"/>
      <c r="CA17" s="803"/>
      <c r="CB17" s="803"/>
      <c r="CC17" s="803"/>
      <c r="CD17" s="803"/>
      <c r="CE17" s="804"/>
      <c r="CP17" t="e">
        <f>#REF!</f>
        <v>#REF!</v>
      </c>
    </row>
    <row r="18" spans="1:94" ht="15" customHeight="1">
      <c r="A18" s="460">
        <v>6</v>
      </c>
      <c r="F18" t="e">
        <f>ROUND((#REF!)*0.1,0)</f>
        <v>#REF!</v>
      </c>
      <c r="L18" s="625"/>
      <c r="M18" s="384">
        <v>5</v>
      </c>
      <c r="N18" s="385">
        <v>20300</v>
      </c>
      <c r="O18" s="386">
        <v>22400</v>
      </c>
      <c r="P18" s="386">
        <v>24500</v>
      </c>
      <c r="Q18" s="386">
        <v>28700</v>
      </c>
      <c r="R18" s="387">
        <v>32900</v>
      </c>
      <c r="S18" s="388">
        <v>39900</v>
      </c>
      <c r="T18" s="389">
        <v>50500</v>
      </c>
      <c r="U18" s="389">
        <v>56900</v>
      </c>
      <c r="V18" s="411">
        <v>63300</v>
      </c>
      <c r="W18" s="412">
        <v>67000</v>
      </c>
      <c r="X18" s="413">
        <v>80900</v>
      </c>
      <c r="Y18" s="641">
        <v>94100</v>
      </c>
      <c r="AA18" s="805"/>
      <c r="AB18" s="805"/>
      <c r="AC18" s="805"/>
      <c r="AD18" s="805"/>
      <c r="AE18" s="805"/>
      <c r="AF18" s="805"/>
      <c r="AG18" s="805"/>
      <c r="AH18" s="805"/>
      <c r="AI18" s="805"/>
      <c r="AJ18" s="805"/>
      <c r="AK18" s="805"/>
      <c r="AL18" s="805"/>
      <c r="AM18" s="805"/>
      <c r="AN18" s="805"/>
      <c r="AO18" s="805"/>
      <c r="AP18" s="805"/>
      <c r="AQ18" s="805"/>
      <c r="AR18" s="805"/>
      <c r="AS18" s="805"/>
      <c r="AT18" s="805"/>
      <c r="AU18" s="805"/>
      <c r="AV18" s="805"/>
      <c r="AW18" s="805"/>
      <c r="AX18" s="805"/>
      <c r="AY18" s="805"/>
      <c r="AZ18" s="805"/>
      <c r="BA18" s="805"/>
      <c r="BB18" s="805"/>
      <c r="BC18" s="805"/>
      <c r="BD18" s="805"/>
      <c r="BE18" s="805"/>
      <c r="BF18" s="805"/>
      <c r="BG18" s="805"/>
      <c r="BH18" s="805"/>
      <c r="BI18" s="805"/>
      <c r="BJ18" s="805"/>
      <c r="BL18" s="637"/>
      <c r="BM18" s="637"/>
      <c r="BN18" s="637"/>
      <c r="BO18" s="637"/>
      <c r="BP18" s="637"/>
      <c r="BQ18" s="637"/>
      <c r="BR18" s="637"/>
      <c r="BS18" s="637"/>
      <c r="BT18" s="637"/>
      <c r="BU18" s="637"/>
      <c r="BV18" s="637"/>
      <c r="BW18" s="637"/>
      <c r="BX18" s="637"/>
      <c r="BY18" s="637"/>
      <c r="BZ18" s="637"/>
      <c r="CA18" s="637"/>
      <c r="CB18" s="637"/>
      <c r="CC18" s="637"/>
      <c r="CD18" s="637"/>
      <c r="CE18" s="637"/>
      <c r="CP18" t="e">
        <f>#REF!</f>
        <v>#REF!</v>
      </c>
    </row>
    <row r="19" spans="1:94" ht="16.5" customHeight="1">
      <c r="A19" s="460">
        <v>7</v>
      </c>
      <c r="C19" s="40"/>
      <c r="D19" s="40"/>
      <c r="E19" s="40"/>
      <c r="F19" s="40"/>
      <c r="J19" s="279">
        <f>'Salary Details'!I27</f>
        <v>3360</v>
      </c>
      <c r="K19" s="626"/>
      <c r="L19" s="621"/>
      <c r="M19" s="384">
        <v>6</v>
      </c>
      <c r="N19" s="385">
        <v>20900</v>
      </c>
      <c r="O19" s="386">
        <v>23100</v>
      </c>
      <c r="P19" s="386">
        <v>25200</v>
      </c>
      <c r="Q19" s="386">
        <v>29600</v>
      </c>
      <c r="R19" s="387">
        <v>33900</v>
      </c>
      <c r="S19" s="388">
        <v>41100</v>
      </c>
      <c r="T19" s="389">
        <v>52000</v>
      </c>
      <c r="U19" s="389">
        <v>58600</v>
      </c>
      <c r="V19" s="411">
        <v>65200</v>
      </c>
      <c r="W19" s="412">
        <v>69000</v>
      </c>
      <c r="X19" s="413">
        <v>83300</v>
      </c>
      <c r="Y19" s="641">
        <v>96900</v>
      </c>
      <c r="BL19" s="793" t="s">
        <v>30</v>
      </c>
      <c r="BM19" s="794"/>
      <c r="BN19" s="794"/>
      <c r="BO19" s="794"/>
      <c r="BP19" s="794"/>
      <c r="BQ19" s="794"/>
      <c r="BR19" s="794"/>
      <c r="BS19" s="794"/>
      <c r="BT19" s="794"/>
      <c r="BU19" s="794"/>
      <c r="BV19" s="794"/>
      <c r="BW19" s="794"/>
      <c r="BX19" s="794"/>
      <c r="BY19" s="794"/>
      <c r="BZ19" s="794"/>
      <c r="CA19" s="794"/>
      <c r="CB19" s="794"/>
      <c r="CC19" s="794"/>
      <c r="CD19" s="794"/>
      <c r="CE19" s="795"/>
      <c r="CP19" t="e">
        <f>#REF!</f>
        <v>#REF!</v>
      </c>
    </row>
    <row r="20" spans="1:94" ht="15" customHeight="1">
      <c r="A20" s="460">
        <v>8</v>
      </c>
      <c r="B20" s="93"/>
      <c r="C20" t="s">
        <v>31</v>
      </c>
      <c r="D20" s="41"/>
      <c r="E20" s="41"/>
      <c r="F20" s="41"/>
      <c r="G20" s="39"/>
      <c r="J20">
        <v>0</v>
      </c>
      <c r="L20" s="627"/>
      <c r="M20" s="384">
        <v>7</v>
      </c>
      <c r="N20" s="385">
        <v>21500</v>
      </c>
      <c r="O20" s="386">
        <v>23800</v>
      </c>
      <c r="P20" s="386">
        <v>26000</v>
      </c>
      <c r="Q20" s="386">
        <v>30500</v>
      </c>
      <c r="R20" s="387">
        <v>34900</v>
      </c>
      <c r="S20" s="388">
        <v>42300</v>
      </c>
      <c r="T20" s="389">
        <v>53600</v>
      </c>
      <c r="U20" s="389">
        <v>60400</v>
      </c>
      <c r="V20" s="411">
        <v>67200</v>
      </c>
      <c r="W20" s="412">
        <v>71100</v>
      </c>
      <c r="X20" s="413">
        <v>85800</v>
      </c>
      <c r="Y20" s="641">
        <v>99800</v>
      </c>
      <c r="BL20" s="796"/>
      <c r="BM20" s="797"/>
      <c r="BN20" s="797"/>
      <c r="BO20" s="797"/>
      <c r="BP20" s="797"/>
      <c r="BQ20" s="797"/>
      <c r="BR20" s="797"/>
      <c r="BS20" s="797"/>
      <c r="BT20" s="797"/>
      <c r="BU20" s="797"/>
      <c r="BV20" s="797"/>
      <c r="BW20" s="797"/>
      <c r="BX20" s="797"/>
      <c r="BY20" s="797"/>
      <c r="BZ20" s="797"/>
      <c r="CA20" s="797"/>
      <c r="CB20" s="797"/>
      <c r="CC20" s="797"/>
      <c r="CD20" s="797"/>
      <c r="CE20" s="798"/>
    </row>
    <row r="21" spans="1:94" ht="21">
      <c r="A21" s="460">
        <v>9</v>
      </c>
      <c r="C21" s="138" t="s">
        <v>32</v>
      </c>
      <c r="D21" s="590" t="e">
        <f>IF(#REF!=4,#REF!,0)</f>
        <v>#REF!</v>
      </c>
      <c r="G21" s="93"/>
      <c r="I21" s="628" t="e">
        <f>#REF!</f>
        <v>#REF!</v>
      </c>
      <c r="L21" s="627"/>
      <c r="M21" s="384">
        <v>8</v>
      </c>
      <c r="N21" s="385">
        <v>22100</v>
      </c>
      <c r="O21" s="386">
        <v>24500</v>
      </c>
      <c r="P21" s="386">
        <v>26800</v>
      </c>
      <c r="Q21" s="386">
        <v>31400</v>
      </c>
      <c r="R21" s="387">
        <v>35900</v>
      </c>
      <c r="S21" s="388">
        <v>43600</v>
      </c>
      <c r="T21" s="389">
        <v>55200</v>
      </c>
      <c r="U21" s="389">
        <v>62200</v>
      </c>
      <c r="V21" s="411">
        <v>69200</v>
      </c>
      <c r="W21" s="412">
        <v>73200</v>
      </c>
      <c r="X21" s="413">
        <v>88400</v>
      </c>
      <c r="Y21" s="641">
        <v>102800</v>
      </c>
      <c r="BL21" s="811" t="s">
        <v>33</v>
      </c>
      <c r="BM21" s="811"/>
      <c r="BN21" s="811"/>
      <c r="BO21" s="811"/>
      <c r="BP21" s="811"/>
      <c r="BQ21" s="811"/>
      <c r="BR21" s="811"/>
      <c r="BS21" s="811"/>
      <c r="BT21" s="811"/>
      <c r="BU21" s="811"/>
      <c r="BV21" s="811"/>
      <c r="BW21" s="811"/>
      <c r="BX21" s="811"/>
      <c r="BY21" s="811"/>
      <c r="BZ21" s="811"/>
      <c r="CA21" s="811"/>
      <c r="CB21" s="811"/>
      <c r="CC21" s="811"/>
      <c r="CD21" s="811"/>
      <c r="CE21" s="811"/>
    </row>
    <row r="22" spans="1:94" ht="14.25" customHeight="1">
      <c r="A22" s="460">
        <v>10</v>
      </c>
      <c r="C22" s="138" t="s">
        <v>34</v>
      </c>
      <c r="D22" s="590" t="e">
        <f>IF(#REF!=5,#REF!,0)</f>
        <v>#REF!</v>
      </c>
      <c r="G22" s="93"/>
      <c r="I22" s="628" t="e">
        <f>#REF!</f>
        <v>#REF!</v>
      </c>
      <c r="L22" s="629"/>
      <c r="M22" s="384">
        <v>9</v>
      </c>
      <c r="N22" s="385">
        <v>22800</v>
      </c>
      <c r="O22" s="386">
        <v>25200</v>
      </c>
      <c r="P22" s="386">
        <v>27600</v>
      </c>
      <c r="Q22" s="386">
        <v>32300</v>
      </c>
      <c r="R22" s="387">
        <v>37000</v>
      </c>
      <c r="S22" s="388">
        <v>44900</v>
      </c>
      <c r="T22" s="389">
        <v>56900</v>
      </c>
      <c r="U22" s="389">
        <v>64100</v>
      </c>
      <c r="V22" s="411">
        <v>71300</v>
      </c>
      <c r="W22" s="412">
        <v>75400</v>
      </c>
      <c r="X22" s="413">
        <v>91100</v>
      </c>
      <c r="Y22" s="641">
        <v>105900</v>
      </c>
      <c r="BL22" s="751" t="s">
        <v>35</v>
      </c>
      <c r="BM22" s="752"/>
      <c r="BN22" s="752"/>
      <c r="BO22" s="752"/>
      <c r="BP22" s="752"/>
      <c r="BQ22" s="752"/>
      <c r="BR22" s="752"/>
      <c r="BS22" s="752"/>
      <c r="BT22" s="752"/>
      <c r="BU22" s="752"/>
      <c r="BV22" s="752"/>
      <c r="BW22" s="752"/>
      <c r="BX22" s="752"/>
      <c r="BY22" s="752"/>
      <c r="BZ22" s="752"/>
      <c r="CA22" s="752"/>
      <c r="CB22" s="752"/>
      <c r="CC22" s="752"/>
      <c r="CD22" s="752"/>
      <c r="CE22" s="753"/>
    </row>
    <row r="23" spans="1:94" ht="15">
      <c r="A23" s="460">
        <v>11</v>
      </c>
      <c r="C23" s="138" t="s">
        <v>36</v>
      </c>
      <c r="D23" s="590" t="e">
        <f>IF(#REF!=6,#REF!,0)</f>
        <v>#REF!</v>
      </c>
      <c r="G23" s="93"/>
      <c r="I23" s="628" t="e">
        <f>#REF!</f>
        <v>#REF!</v>
      </c>
      <c r="L23" s="629"/>
      <c r="M23" s="384">
        <v>10</v>
      </c>
      <c r="N23" s="385">
        <v>23500</v>
      </c>
      <c r="O23" s="386">
        <v>26000</v>
      </c>
      <c r="P23" s="386">
        <v>28400</v>
      </c>
      <c r="Q23" s="386">
        <v>33300</v>
      </c>
      <c r="R23" s="387">
        <v>38100</v>
      </c>
      <c r="S23" s="388">
        <v>46200</v>
      </c>
      <c r="T23" s="389">
        <v>58600</v>
      </c>
      <c r="U23" s="389">
        <v>66000</v>
      </c>
      <c r="V23" s="411">
        <v>73400</v>
      </c>
      <c r="W23" s="412">
        <v>77700</v>
      </c>
      <c r="X23" s="413">
        <v>93800</v>
      </c>
      <c r="Y23" s="641">
        <v>109100</v>
      </c>
      <c r="BL23" s="754"/>
      <c r="BM23" s="755"/>
      <c r="BN23" s="755"/>
      <c r="BO23" s="755"/>
      <c r="BP23" s="755"/>
      <c r="BQ23" s="755"/>
      <c r="BR23" s="755"/>
      <c r="BS23" s="755"/>
      <c r="BT23" s="755"/>
      <c r="BU23" s="755"/>
      <c r="BV23" s="755"/>
      <c r="BW23" s="755"/>
      <c r="BX23" s="755"/>
      <c r="BY23" s="755"/>
      <c r="BZ23" s="755"/>
      <c r="CA23" s="755"/>
      <c r="CB23" s="755"/>
      <c r="CC23" s="755"/>
      <c r="CD23" s="755"/>
      <c r="CE23" s="756"/>
    </row>
    <row r="24" spans="1:94" ht="15">
      <c r="A24" s="460">
        <v>12</v>
      </c>
      <c r="C24" s="138" t="s">
        <v>37</v>
      </c>
      <c r="D24" s="590" t="e">
        <f>IF(#REF!=7,#REF!,0)</f>
        <v>#REF!</v>
      </c>
      <c r="G24" s="93"/>
      <c r="H24" s="32"/>
      <c r="I24" s="628" t="e">
        <f>#REF!</f>
        <v>#REF!</v>
      </c>
      <c r="L24" s="629"/>
      <c r="M24" s="384">
        <v>11</v>
      </c>
      <c r="N24" s="385">
        <v>24200</v>
      </c>
      <c r="O24" s="386">
        <v>26800</v>
      </c>
      <c r="P24" s="386">
        <v>29300</v>
      </c>
      <c r="Q24" s="386">
        <v>34300</v>
      </c>
      <c r="R24" s="387">
        <v>39200</v>
      </c>
      <c r="S24" s="388">
        <v>47600</v>
      </c>
      <c r="T24" s="389">
        <v>60400</v>
      </c>
      <c r="U24" s="389">
        <v>68000</v>
      </c>
      <c r="V24" s="411">
        <v>75600</v>
      </c>
      <c r="W24" s="412">
        <v>80000</v>
      </c>
      <c r="X24" s="413">
        <v>96600</v>
      </c>
      <c r="Y24" s="414">
        <v>112400</v>
      </c>
      <c r="BL24" s="637"/>
      <c r="BM24" s="637"/>
      <c r="BN24" s="637"/>
      <c r="BO24" s="637"/>
      <c r="BP24" s="637"/>
      <c r="BQ24" s="637"/>
      <c r="BR24" s="637"/>
      <c r="BS24" s="637"/>
      <c r="BT24" s="637"/>
      <c r="BU24" s="637"/>
      <c r="BV24" s="637"/>
      <c r="BW24" s="637"/>
      <c r="BX24" s="637"/>
      <c r="BY24" s="637"/>
      <c r="BZ24" s="637"/>
      <c r="CA24" s="637"/>
      <c r="CB24" s="637"/>
      <c r="CC24" s="637"/>
      <c r="CD24" s="637"/>
      <c r="CE24" s="637"/>
    </row>
    <row r="25" spans="1:94" ht="15" customHeight="1">
      <c r="A25" s="460">
        <v>14</v>
      </c>
      <c r="C25" s="138" t="s">
        <v>38</v>
      </c>
      <c r="D25" s="590" t="e">
        <f>IF(#REF!=8,#REF!,0)</f>
        <v>#REF!</v>
      </c>
      <c r="E25" s="115"/>
      <c r="F25" s="115"/>
      <c r="G25" s="630"/>
      <c r="H25" s="115"/>
      <c r="I25" s="628" t="e">
        <f>#REF!</f>
        <v>#REF!</v>
      </c>
      <c r="J25" s="631">
        <f>'Salary Details'!$J$27</f>
        <v>42600</v>
      </c>
      <c r="L25" s="629"/>
      <c r="M25" s="384">
        <v>12</v>
      </c>
      <c r="N25" s="385">
        <v>24900</v>
      </c>
      <c r="O25" s="386">
        <v>27600</v>
      </c>
      <c r="P25" s="386">
        <v>30200</v>
      </c>
      <c r="Q25" s="386">
        <v>35300</v>
      </c>
      <c r="R25" s="387">
        <v>40400</v>
      </c>
      <c r="S25" s="388">
        <v>49000</v>
      </c>
      <c r="T25" s="389">
        <v>62200</v>
      </c>
      <c r="U25" s="389">
        <v>70000</v>
      </c>
      <c r="V25" s="411">
        <v>77900</v>
      </c>
      <c r="W25" s="412">
        <v>82400</v>
      </c>
      <c r="X25" s="413">
        <v>99500</v>
      </c>
      <c r="Y25" s="414">
        <v>115800</v>
      </c>
      <c r="BL25" s="745" t="s">
        <v>39</v>
      </c>
      <c r="BM25" s="746"/>
      <c r="BN25" s="746"/>
      <c r="BO25" s="746"/>
      <c r="BP25" s="746"/>
      <c r="BQ25" s="746"/>
      <c r="BR25" s="746"/>
      <c r="BS25" s="746"/>
      <c r="BT25" s="746"/>
      <c r="BU25" s="746"/>
      <c r="BV25" s="746"/>
      <c r="BW25" s="746"/>
      <c r="BX25" s="746"/>
      <c r="BY25" s="746"/>
      <c r="BZ25" s="746"/>
      <c r="CA25" s="746"/>
      <c r="CB25" s="746"/>
      <c r="CC25" s="746"/>
      <c r="CD25" s="746"/>
      <c r="CE25" s="747"/>
    </row>
    <row r="26" spans="1:94" ht="15" customHeight="1">
      <c r="A26" s="460">
        <v>15</v>
      </c>
      <c r="C26" s="138" t="s">
        <v>40</v>
      </c>
      <c r="D26" s="590" t="e">
        <f>IF(#REF!=9,#REF!,0)</f>
        <v>#REF!</v>
      </c>
      <c r="E26" s="139"/>
      <c r="F26" s="40"/>
      <c r="G26" s="38"/>
      <c r="I26" s="628" t="e">
        <f>#REF!</f>
        <v>#REF!</v>
      </c>
      <c r="J26">
        <v>0</v>
      </c>
      <c r="L26" s="629"/>
      <c r="M26" s="384">
        <v>13</v>
      </c>
      <c r="N26" s="385">
        <v>25600</v>
      </c>
      <c r="O26" s="386">
        <v>28400</v>
      </c>
      <c r="P26" s="386">
        <v>31100</v>
      </c>
      <c r="Q26" s="386">
        <v>36400</v>
      </c>
      <c r="R26" s="387">
        <v>41600</v>
      </c>
      <c r="S26" s="388">
        <v>50500</v>
      </c>
      <c r="T26" s="389">
        <v>64100</v>
      </c>
      <c r="U26" s="389">
        <v>72100</v>
      </c>
      <c r="V26" s="411">
        <v>80200</v>
      </c>
      <c r="W26" s="412">
        <v>84900</v>
      </c>
      <c r="X26" s="413">
        <v>102500</v>
      </c>
      <c r="Y26" s="414">
        <v>119300</v>
      </c>
      <c r="BL26" s="748"/>
      <c r="BM26" s="749"/>
      <c r="BN26" s="749"/>
      <c r="BO26" s="749"/>
      <c r="BP26" s="749"/>
      <c r="BQ26" s="749"/>
      <c r="BR26" s="749"/>
      <c r="BS26" s="749"/>
      <c r="BT26" s="749"/>
      <c r="BU26" s="749"/>
      <c r="BV26" s="749"/>
      <c r="BW26" s="749"/>
      <c r="BX26" s="749"/>
      <c r="BY26" s="749"/>
      <c r="BZ26" s="749"/>
      <c r="CA26" s="749"/>
      <c r="CB26" s="749"/>
      <c r="CC26" s="749"/>
      <c r="CD26" s="749"/>
      <c r="CE26" s="750"/>
    </row>
    <row r="27" spans="1:94" ht="15">
      <c r="A27" s="460">
        <v>16</v>
      </c>
      <c r="C27" s="138" t="s">
        <v>41</v>
      </c>
      <c r="D27" s="590" t="e">
        <f>IF(#REF!=10,#REF!,0)</f>
        <v>#REF!</v>
      </c>
      <c r="G27" s="93"/>
      <c r="I27" s="628" t="e">
        <f>#REF!</f>
        <v>#REF!</v>
      </c>
      <c r="L27" s="629"/>
      <c r="M27" s="384">
        <v>14</v>
      </c>
      <c r="N27" s="385">
        <v>26400</v>
      </c>
      <c r="O27" s="386">
        <v>29300</v>
      </c>
      <c r="P27" s="386">
        <v>32000</v>
      </c>
      <c r="Q27" s="386">
        <v>37500</v>
      </c>
      <c r="R27" s="387">
        <v>42800</v>
      </c>
      <c r="S27" s="388">
        <v>52000</v>
      </c>
      <c r="T27" s="389">
        <v>66000</v>
      </c>
      <c r="U27" s="389">
        <v>74300</v>
      </c>
      <c r="V27" s="411">
        <v>82600</v>
      </c>
      <c r="W27" s="412">
        <v>87400</v>
      </c>
      <c r="X27" s="413">
        <v>105600</v>
      </c>
      <c r="Y27" s="414">
        <v>122900</v>
      </c>
      <c r="BL27" s="812" t="s">
        <v>42</v>
      </c>
      <c r="BM27" s="812"/>
      <c r="BN27" s="812"/>
      <c r="BO27" s="812"/>
      <c r="BP27" s="812"/>
      <c r="BQ27" s="812"/>
      <c r="BR27" s="812"/>
      <c r="BS27" s="812"/>
      <c r="BT27" s="812"/>
      <c r="BU27" s="812"/>
      <c r="BV27" s="812"/>
      <c r="BW27" s="812"/>
      <c r="BX27" s="812"/>
      <c r="BY27" s="812"/>
      <c r="BZ27" s="812"/>
      <c r="CA27" s="812"/>
      <c r="CB27" s="812"/>
      <c r="CC27" s="812"/>
      <c r="CD27" s="812"/>
      <c r="CE27" s="812"/>
    </row>
    <row r="28" spans="1:94" ht="15" customHeight="1">
      <c r="A28" s="460">
        <v>17</v>
      </c>
      <c r="C28" s="138" t="s">
        <v>43</v>
      </c>
      <c r="D28" s="590" t="e">
        <f>IF(#REF!=11,#REF!,0)</f>
        <v>#REF!</v>
      </c>
      <c r="E28" s="139"/>
      <c r="F28" s="40"/>
      <c r="G28" s="38"/>
      <c r="I28" s="628" t="e">
        <f>#REF!</f>
        <v>#REF!</v>
      </c>
      <c r="L28" s="629"/>
      <c r="M28" s="384">
        <v>15</v>
      </c>
      <c r="N28" s="390">
        <v>27200</v>
      </c>
      <c r="O28" s="386">
        <v>30200</v>
      </c>
      <c r="P28" s="386">
        <v>33000</v>
      </c>
      <c r="Q28" s="386">
        <v>38600</v>
      </c>
      <c r="R28" s="387">
        <v>44100</v>
      </c>
      <c r="S28" s="388">
        <v>53600</v>
      </c>
      <c r="T28" s="389">
        <v>68000</v>
      </c>
      <c r="U28" s="389">
        <v>76500</v>
      </c>
      <c r="V28" s="411">
        <v>85100</v>
      </c>
      <c r="W28" s="412">
        <v>90000</v>
      </c>
      <c r="X28" s="413">
        <v>108800</v>
      </c>
      <c r="Y28" s="415">
        <v>126600</v>
      </c>
      <c r="BL28" s="813"/>
      <c r="BM28" s="813"/>
      <c r="BN28" s="813"/>
      <c r="BO28" s="813"/>
      <c r="BP28" s="813"/>
      <c r="BQ28" s="813"/>
      <c r="BR28" s="813"/>
      <c r="BS28" s="813"/>
      <c r="BT28" s="813"/>
      <c r="BU28" s="813"/>
      <c r="BV28" s="813"/>
      <c r="BW28" s="813"/>
      <c r="BX28" s="813"/>
      <c r="BY28" s="813"/>
      <c r="BZ28" s="813"/>
      <c r="CA28" s="813"/>
      <c r="CB28" s="813"/>
      <c r="CC28" s="813"/>
      <c r="CD28" s="813"/>
      <c r="CE28" s="813"/>
    </row>
    <row r="29" spans="1:94" ht="16.5" customHeight="1">
      <c r="A29" s="460">
        <v>18</v>
      </c>
      <c r="C29" s="138" t="s">
        <v>44</v>
      </c>
      <c r="D29" s="590" t="e">
        <f>IF(#REF!=12,#REF!,0)</f>
        <v>#REF!</v>
      </c>
      <c r="G29" s="93"/>
      <c r="I29" s="628" t="e">
        <f>#REF!</f>
        <v>#REF!</v>
      </c>
      <c r="L29" s="629"/>
      <c r="M29" s="384">
        <v>16</v>
      </c>
      <c r="N29" s="390">
        <v>28000</v>
      </c>
      <c r="O29" s="386">
        <v>31100</v>
      </c>
      <c r="P29" s="386">
        <v>34000</v>
      </c>
      <c r="Q29" s="386">
        <v>39800</v>
      </c>
      <c r="R29" s="387">
        <v>45400</v>
      </c>
      <c r="S29" s="388">
        <v>55200</v>
      </c>
      <c r="T29" s="389">
        <v>70000</v>
      </c>
      <c r="U29" s="397">
        <v>78800</v>
      </c>
      <c r="V29" s="416">
        <v>87700</v>
      </c>
      <c r="W29" s="417">
        <v>92700</v>
      </c>
      <c r="X29" s="418">
        <v>112100</v>
      </c>
      <c r="Y29" s="419">
        <v>130400</v>
      </c>
    </row>
    <row r="30" spans="1:94" ht="15">
      <c r="A30" s="460">
        <v>19</v>
      </c>
      <c r="C30" s="138" t="s">
        <v>45</v>
      </c>
      <c r="D30" s="590" t="e">
        <f>IF(#REF!=1,#REF!,0)</f>
        <v>#REF!</v>
      </c>
      <c r="G30" s="93"/>
      <c r="I30" s="628" t="e">
        <f>#REF!</f>
        <v>#REF!</v>
      </c>
      <c r="L30" s="625"/>
      <c r="M30" s="391">
        <v>17</v>
      </c>
      <c r="N30" s="390">
        <v>28800</v>
      </c>
      <c r="O30" s="386">
        <v>32000</v>
      </c>
      <c r="P30" s="386">
        <v>35000</v>
      </c>
      <c r="Q30" s="386">
        <v>41000</v>
      </c>
      <c r="R30" s="387">
        <v>46800</v>
      </c>
      <c r="S30" s="388">
        <v>56900</v>
      </c>
      <c r="T30" s="389">
        <v>72100</v>
      </c>
      <c r="BL30" s="744"/>
      <c r="BM30" s="744"/>
      <c r="BN30" s="744"/>
      <c r="BO30" s="744"/>
      <c r="BP30" s="744"/>
      <c r="BQ30" s="744"/>
      <c r="BR30" s="744"/>
      <c r="BS30" s="744"/>
      <c r="BT30" s="744"/>
      <c r="BU30" s="744"/>
      <c r="BV30" s="744"/>
      <c r="BW30" s="744"/>
      <c r="BX30" s="744"/>
      <c r="BY30" s="744"/>
      <c r="BZ30" s="744"/>
      <c r="CA30" s="744"/>
      <c r="CB30" s="744"/>
      <c r="CC30" s="744"/>
      <c r="CD30" s="744"/>
      <c r="CE30" s="744"/>
    </row>
    <row r="31" spans="1:94" ht="16.5" customHeight="1">
      <c r="A31" s="460">
        <v>20</v>
      </c>
      <c r="C31" s="138" t="s">
        <v>46</v>
      </c>
      <c r="D31" s="590" t="e">
        <f>IF(#REF!=2,#REF!,0)</f>
        <v>#REF!</v>
      </c>
      <c r="G31" s="93"/>
      <c r="I31" s="628" t="e">
        <f>#REF!</f>
        <v>#REF!</v>
      </c>
      <c r="L31" s="632"/>
      <c r="M31" s="392">
        <v>18</v>
      </c>
      <c r="N31" s="393">
        <v>29700</v>
      </c>
      <c r="O31" s="394">
        <v>33000</v>
      </c>
      <c r="P31" s="394">
        <v>36100</v>
      </c>
      <c r="Q31" s="394">
        <v>42200</v>
      </c>
      <c r="R31" s="395">
        <v>48200</v>
      </c>
      <c r="S31" s="396">
        <v>58600</v>
      </c>
      <c r="T31" s="397">
        <v>74300</v>
      </c>
      <c r="BL31" s="744"/>
      <c r="BM31" s="744"/>
      <c r="BN31" s="744"/>
      <c r="BO31" s="744"/>
      <c r="BP31" s="744"/>
      <c r="BQ31" s="744"/>
      <c r="BR31" s="744"/>
      <c r="BS31" s="744"/>
      <c r="BT31" s="744"/>
      <c r="BU31" s="744"/>
      <c r="BV31" s="744"/>
      <c r="BW31" s="744"/>
      <c r="BX31" s="744"/>
      <c r="BY31" s="744"/>
      <c r="BZ31" s="744"/>
      <c r="CA31" s="744"/>
      <c r="CB31" s="744"/>
      <c r="CC31" s="744"/>
      <c r="CD31" s="744"/>
      <c r="CE31" s="744"/>
    </row>
    <row r="32" spans="1:94" ht="15.75" customHeight="1">
      <c r="A32" s="460">
        <v>21</v>
      </c>
      <c r="C32" s="138" t="s">
        <v>47</v>
      </c>
      <c r="D32" s="590" t="e">
        <f>IF(#REF!=3,#REF!,0)</f>
        <v>#REF!</v>
      </c>
      <c r="E32" s="139"/>
      <c r="F32" s="40"/>
      <c r="G32" s="38"/>
      <c r="H32" s="633"/>
      <c r="I32" s="628" t="e">
        <f>#REF!</f>
        <v>#REF!</v>
      </c>
      <c r="M32" t="s">
        <v>48</v>
      </c>
    </row>
    <row r="33" spans="1:63" ht="16.5" customHeight="1">
      <c r="A33" s="460">
        <v>22</v>
      </c>
      <c r="C33" s="41"/>
      <c r="I33" s="628" t="e">
        <f>#REF!</f>
        <v>#REF!</v>
      </c>
      <c r="M33" t="s">
        <v>49</v>
      </c>
      <c r="P33" s="636"/>
    </row>
    <row r="34" spans="1:63" ht="21" customHeight="1">
      <c r="A34" s="482">
        <v>23</v>
      </c>
      <c r="B34" s="593"/>
      <c r="C34" t="s">
        <v>50</v>
      </c>
      <c r="D34" s="41"/>
      <c r="E34" s="41"/>
      <c r="F34" s="41"/>
      <c r="G34" s="39"/>
    </row>
    <row r="35" spans="1:63" ht="18" customHeight="1">
      <c r="A35" s="458"/>
      <c r="B35" s="593"/>
      <c r="C35" s="39" t="s">
        <v>47</v>
      </c>
      <c r="D35" s="590" t="e">
        <f>IF(#REF!=3,#REF!,0)</f>
        <v>#REF!</v>
      </c>
      <c r="F35" s="628"/>
      <c r="G35" s="93"/>
    </row>
    <row r="36" spans="1:63" ht="15.75" customHeight="1">
      <c r="A36" s="485">
        <v>24</v>
      </c>
      <c r="B36" s="593"/>
      <c r="C36" s="39" t="s">
        <v>32</v>
      </c>
      <c r="D36" s="590" t="e">
        <f>IF(#REF!=4,#REF!,0)</f>
        <v>#REF!</v>
      </c>
      <c r="F36" s="628"/>
      <c r="G36" s="93"/>
    </row>
    <row r="37" spans="1:63" ht="16.5" customHeight="1">
      <c r="A37" s="486"/>
      <c r="C37" s="138" t="s">
        <v>34</v>
      </c>
      <c r="D37" s="590" t="e">
        <f>IF(#REF!=5,#REF!,0)</f>
        <v>#REF!</v>
      </c>
      <c r="F37" s="628"/>
      <c r="G37" s="93"/>
    </row>
    <row r="38" spans="1:63" ht="15.75" customHeight="1">
      <c r="A38" s="487"/>
      <c r="B38" s="595"/>
      <c r="C38" s="138" t="s">
        <v>36</v>
      </c>
      <c r="D38" s="590" t="e">
        <f>IF(#REF!=6,#REF!,0)</f>
        <v>#REF!</v>
      </c>
      <c r="F38" s="628"/>
      <c r="G38" s="93"/>
      <c r="I38" t="e">
        <f>#REF!</f>
        <v>#REF!</v>
      </c>
    </row>
    <row r="39" spans="1:63" ht="15.75">
      <c r="A39" s="488">
        <v>25</v>
      </c>
      <c r="B39" s="595"/>
      <c r="C39" s="138" t="s">
        <v>37</v>
      </c>
      <c r="D39" s="590" t="e">
        <f>IF(#REF!=7,#REF!,0)</f>
        <v>#REF!</v>
      </c>
      <c r="F39" s="628"/>
      <c r="G39" s="93"/>
    </row>
    <row r="40" spans="1:63" ht="15" customHeight="1">
      <c r="A40" s="487">
        <v>26</v>
      </c>
      <c r="B40" s="596"/>
      <c r="C40" s="138" t="s">
        <v>38</v>
      </c>
      <c r="D40" s="590" t="e">
        <f>IF(#REF!=8,#REF!,0)</f>
        <v>#REF!</v>
      </c>
      <c r="F40" s="628"/>
      <c r="G40" s="93"/>
      <c r="J40" s="358" t="e">
        <f>#REF!</f>
        <v>#REF!</v>
      </c>
    </row>
    <row r="41" spans="1:63" ht="16.5" customHeight="1">
      <c r="A41" s="488">
        <v>27</v>
      </c>
      <c r="B41" s="596"/>
      <c r="C41" s="138" t="s">
        <v>40</v>
      </c>
      <c r="D41" s="590" t="e">
        <f>IF(#REF!=9,#REF!,0)</f>
        <v>#REF!</v>
      </c>
      <c r="F41" s="628"/>
      <c r="G41" s="93"/>
    </row>
    <row r="42" spans="1:63" ht="15" hidden="1">
      <c r="A42" s="488">
        <v>28</v>
      </c>
      <c r="B42" s="596"/>
      <c r="C42" s="138" t="s">
        <v>41</v>
      </c>
      <c r="D42" s="590" t="e">
        <f>IF(#REF!=10,#REF!,0)</f>
        <v>#REF!</v>
      </c>
      <c r="F42" s="628"/>
      <c r="G42" s="93"/>
      <c r="BK42" s="644">
        <f>'Salary Details'!F38</f>
        <v>2800</v>
      </c>
    </row>
    <row r="43" spans="1:63" ht="12.75" hidden="1" customHeight="1">
      <c r="A43" s="488">
        <v>29</v>
      </c>
      <c r="B43" s="601"/>
      <c r="C43" s="138" t="s">
        <v>43</v>
      </c>
      <c r="D43" s="590" t="e">
        <f>IF(#REF!=11,#REF!,0)</f>
        <v>#REF!</v>
      </c>
      <c r="F43" s="628"/>
      <c r="G43" s="93"/>
      <c r="BK43" s="644">
        <f>'Salary Details'!F39</f>
        <v>4200</v>
      </c>
    </row>
    <row r="44" spans="1:63" ht="15.75" customHeight="1">
      <c r="A44" s="490">
        <v>30</v>
      </c>
      <c r="B44" s="603"/>
      <c r="C44" s="604" t="s">
        <v>44</v>
      </c>
      <c r="D44" s="590" t="e">
        <f>IF(#REF!=12,#REF!,0)</f>
        <v>#REF!</v>
      </c>
    </row>
    <row r="45" spans="1:63" ht="12.75" hidden="1" customHeight="1">
      <c r="G45" t="e">
        <f>#REF!</f>
        <v>#REF!</v>
      </c>
    </row>
    <row r="46" spans="1:63" ht="15" hidden="1" customHeight="1">
      <c r="C46" s="617" t="s">
        <v>51</v>
      </c>
      <c r="G46" s="635" t="s">
        <v>52</v>
      </c>
    </row>
    <row r="47" spans="1:63" ht="15" hidden="1" customHeight="1"/>
    <row r="48" spans="1:63" ht="15" hidden="1" customHeight="1">
      <c r="C48" s="6" t="s">
        <v>53</v>
      </c>
    </row>
    <row r="49" spans="93:97" ht="15" hidden="1" customHeight="1">
      <c r="CO49" s="731" t="s">
        <v>54</v>
      </c>
      <c r="CP49" s="6"/>
      <c r="CQ49" s="731" t="s">
        <v>55</v>
      </c>
      <c r="CR49" s="731" t="s">
        <v>56</v>
      </c>
      <c r="CS49" s="731" t="s">
        <v>57</v>
      </c>
    </row>
    <row r="50" spans="93:97" ht="15" hidden="1" customHeight="1">
      <c r="CO50" s="731" t="s">
        <v>55</v>
      </c>
      <c r="CP50" s="732"/>
      <c r="CQ50" s="138">
        <v>2500</v>
      </c>
      <c r="CR50" s="138">
        <v>2100</v>
      </c>
      <c r="CS50" s="138">
        <v>1800</v>
      </c>
    </row>
    <row r="51" spans="93:97" ht="15" hidden="1" customHeight="1">
      <c r="CO51" s="731" t="s">
        <v>56</v>
      </c>
      <c r="CP51" s="732"/>
      <c r="CQ51" s="733">
        <v>2500</v>
      </c>
      <c r="CR51" s="733">
        <v>2100</v>
      </c>
      <c r="CS51" s="733">
        <v>1800</v>
      </c>
    </row>
    <row r="52" spans="93:97" ht="15" hidden="1" customHeight="1">
      <c r="CO52" s="731" t="s">
        <v>57</v>
      </c>
      <c r="CP52" s="732"/>
      <c r="CQ52" s="733">
        <v>2650</v>
      </c>
      <c r="CR52" s="733">
        <v>2200</v>
      </c>
      <c r="CS52" s="733">
        <v>1800</v>
      </c>
    </row>
    <row r="53" spans="93:97" ht="15" hidden="1" customHeight="1">
      <c r="CP53" s="732"/>
      <c r="CQ53" s="733">
        <v>3100</v>
      </c>
      <c r="CR53" s="733">
        <v>2520</v>
      </c>
      <c r="CS53" s="733">
        <v>2050</v>
      </c>
    </row>
    <row r="54" spans="93:97" ht="15" hidden="1" customHeight="1">
      <c r="CP54" s="732"/>
      <c r="CQ54" s="733">
        <v>3550</v>
      </c>
      <c r="CR54" s="733">
        <v>2950</v>
      </c>
      <c r="CS54" s="733">
        <v>2350</v>
      </c>
    </row>
    <row r="55" spans="93:97" ht="15" hidden="1" customHeight="1">
      <c r="CP55" s="732"/>
      <c r="CQ55" s="733">
        <v>4250</v>
      </c>
      <c r="CR55" s="733">
        <v>3550</v>
      </c>
      <c r="CS55" s="733">
        <v>2850</v>
      </c>
    </row>
    <row r="56" spans="93:97" ht="15" hidden="1" customHeight="1">
      <c r="CP56" s="732"/>
      <c r="CQ56" s="733">
        <v>5400</v>
      </c>
      <c r="CR56" s="733">
        <v>4500</v>
      </c>
      <c r="CS56" s="733">
        <v>3600</v>
      </c>
    </row>
    <row r="57" spans="93:97" ht="15" hidden="1" customHeight="1">
      <c r="CP57" s="732"/>
      <c r="CQ57" s="733">
        <v>5750</v>
      </c>
      <c r="CR57" s="733">
        <v>4800</v>
      </c>
      <c r="CS57" s="733">
        <v>3800</v>
      </c>
    </row>
    <row r="58" spans="93:97" ht="15" hidden="1" customHeight="1">
      <c r="CP58" s="732"/>
      <c r="CQ58" s="733">
        <v>6400</v>
      </c>
      <c r="CR58" s="733">
        <v>5350</v>
      </c>
      <c r="CS58" s="733">
        <v>4250</v>
      </c>
    </row>
    <row r="59" spans="93:97" ht="15" hidden="1" customHeight="1">
      <c r="CP59" s="732"/>
      <c r="CQ59" s="733">
        <v>6750</v>
      </c>
      <c r="CR59" s="733">
        <v>5650</v>
      </c>
      <c r="CS59" s="733">
        <v>4500</v>
      </c>
    </row>
    <row r="60" spans="93:97" ht="15" hidden="1" customHeight="1">
      <c r="CP60" s="732"/>
      <c r="CQ60" s="733">
        <v>8150</v>
      </c>
      <c r="CR60" s="733">
        <v>6800</v>
      </c>
      <c r="CS60" s="733">
        <v>5450</v>
      </c>
    </row>
    <row r="61" spans="93:97" ht="15" hidden="1" customHeight="1">
      <c r="CP61" s="732"/>
      <c r="CQ61" s="733">
        <v>9500</v>
      </c>
      <c r="CR61" s="733">
        <v>7900</v>
      </c>
      <c r="CS61" s="733">
        <v>6350</v>
      </c>
    </row>
    <row r="62" spans="93:97" ht="15" hidden="1" customHeight="1">
      <c r="CP62" s="732"/>
      <c r="CQ62" s="733">
        <v>12000</v>
      </c>
      <c r="CR62" s="733">
        <v>8000</v>
      </c>
      <c r="CS62" s="733">
        <v>7000</v>
      </c>
    </row>
    <row r="63" spans="93:97" ht="15" hidden="1" customHeight="1">
      <c r="CP63" s="732"/>
      <c r="CQ63" s="733">
        <v>12000</v>
      </c>
      <c r="CR63" s="733">
        <v>8000</v>
      </c>
      <c r="CS63" s="733">
        <v>7000</v>
      </c>
    </row>
    <row r="64" spans="93:97" ht="15" hidden="1" customHeight="1">
      <c r="CP64" s="732"/>
      <c r="CQ64" s="733">
        <v>12000</v>
      </c>
      <c r="CR64" s="733">
        <v>8000</v>
      </c>
      <c r="CS64" s="733">
        <v>7000</v>
      </c>
    </row>
    <row r="65" spans="94:97" ht="15" hidden="1" customHeight="1">
      <c r="CP65" s="732"/>
      <c r="CQ65" s="733">
        <v>12000</v>
      </c>
      <c r="CR65" s="733">
        <v>8000</v>
      </c>
      <c r="CS65" s="733">
        <v>7000</v>
      </c>
    </row>
    <row r="66" spans="94:97" ht="15" hidden="1" customHeight="1">
      <c r="CP66" s="732"/>
      <c r="CQ66" s="733">
        <v>12000</v>
      </c>
      <c r="CR66" s="733">
        <v>8000</v>
      </c>
      <c r="CS66" s="733">
        <v>7000</v>
      </c>
    </row>
    <row r="67" spans="94:97" ht="15" hidden="1" customHeight="1"/>
    <row r="68" spans="94:97" ht="15" hidden="1" customHeight="1"/>
    <row r="69" spans="94:97" ht="15" hidden="1" customHeight="1"/>
    <row r="70" spans="94:97" ht="15" hidden="1" customHeight="1"/>
    <row r="71" spans="94:97" ht="15" hidden="1" customHeight="1"/>
    <row r="72" spans="94:97" ht="15" hidden="1" customHeight="1"/>
    <row r="73" spans="94:97" ht="15" hidden="1" customHeight="1"/>
    <row r="74" spans="94:97" ht="15" hidden="1" customHeight="1"/>
    <row r="75" spans="94:97" ht="15" hidden="1" customHeight="1"/>
    <row r="76" spans="94:97" ht="15" hidden="1" customHeight="1"/>
    <row r="77" spans="94:97" ht="15" hidden="1" customHeight="1"/>
    <row r="78" spans="94:97" ht="15" hidden="1" customHeight="1"/>
    <row r="79" spans="94:97" ht="15" hidden="1" customHeight="1"/>
    <row r="80" spans="94:97" ht="15" hidden="1" customHeight="1"/>
    <row r="81" ht="15" hidden="1" customHeight="1"/>
    <row r="82" ht="15" hidden="1" customHeight="1"/>
    <row r="83" ht="15" hidden="1" customHeight="1"/>
    <row r="84" ht="15" hidden="1" customHeight="1"/>
    <row r="85" ht="15" hidden="1" customHeight="1"/>
    <row r="86" ht="15" hidden="1" customHeight="1"/>
    <row r="87" ht="15" hidden="1" customHeight="1"/>
    <row r="88" ht="15" hidden="1" customHeight="1"/>
    <row r="89" ht="15" hidden="1" customHeight="1"/>
    <row r="90" ht="15" hidden="1" customHeight="1"/>
    <row r="91" ht="15" hidden="1" customHeight="1"/>
    <row r="92" ht="15" hidden="1" customHeight="1"/>
    <row r="93" ht="15" hidden="1" customHeight="1"/>
    <row r="94" ht="15" hidden="1" customHeight="1"/>
    <row r="95" hidden="1"/>
    <row r="96" hidden="1"/>
    <row r="97" spans="3:7" hidden="1"/>
    <row r="98" spans="3:7" hidden="1">
      <c r="C98" t="e">
        <f>#REF!</f>
        <v>#REF!</v>
      </c>
      <c r="G98" s="659" t="e">
        <f>#REF!</f>
        <v>#REF!</v>
      </c>
    </row>
    <row r="99" spans="3:7" hidden="1"/>
    <row r="100" spans="3:7" hidden="1">
      <c r="C100" s="6" t="s">
        <v>58</v>
      </c>
      <c r="G100" s="614" t="s">
        <v>59</v>
      </c>
    </row>
    <row r="101" spans="3:7" hidden="1">
      <c r="C101" t="e">
        <f>#REF!</f>
        <v>#REF!</v>
      </c>
      <c r="G101" t="e">
        <f>#REF!</f>
        <v>#REF!</v>
      </c>
    </row>
    <row r="102" spans="3:7" hidden="1">
      <c r="D102" t="e">
        <f>#REF!</f>
        <v>#REF!</v>
      </c>
    </row>
    <row r="103" spans="3:7" hidden="1"/>
    <row r="104" spans="3:7" hidden="1">
      <c r="C104" s="6" t="s">
        <v>60</v>
      </c>
    </row>
    <row r="105" spans="3:7" hidden="1">
      <c r="C105" t="e">
        <f>#REF!</f>
        <v>#REF!</v>
      </c>
    </row>
    <row r="106" spans="3:7" hidden="1"/>
    <row r="107" spans="3:7" hidden="1"/>
    <row r="108" spans="3:7" hidden="1"/>
    <row r="109" spans="3:7" hidden="1"/>
    <row r="110" spans="3:7" hidden="1"/>
    <row r="111" spans="3:7" hidden="1"/>
    <row r="112" spans="3:7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</sheetData>
  <sheetProtection algorithmName="SHA-512" hashValue="ro9C/rQyJ88K2LAU7dfb7FDMm3wOK02GPNx8bPfq/FpQp9OJVMGEqrqilLAYdlbLK9/Iqq0bmn/QpuyV8Z2f+w==" saltValue="0RdDmBbmy2uf25iNllynKA==" spinCount="100000" sheet="1" pivotTables="0"/>
  <protectedRanges>
    <protectedRange sqref="L10:L11" name="Range1_1"/>
  </protectedRanges>
  <mergeCells count="24">
    <mergeCell ref="AK1:BI1"/>
    <mergeCell ref="AK2:BI2"/>
    <mergeCell ref="AK3:BI3"/>
    <mergeCell ref="AA5:BI5"/>
    <mergeCell ref="W8:Y8"/>
    <mergeCell ref="BL2:CE3"/>
    <mergeCell ref="A4:T5"/>
    <mergeCell ref="BL19:CE20"/>
    <mergeCell ref="BL16:BU17"/>
    <mergeCell ref="BV16:CE17"/>
    <mergeCell ref="AA17:BJ18"/>
    <mergeCell ref="AA14:BJ15"/>
    <mergeCell ref="N10:R10"/>
    <mergeCell ref="AA16:BJ16"/>
    <mergeCell ref="BL30:CE31"/>
    <mergeCell ref="BL25:CE26"/>
    <mergeCell ref="BL22:CE23"/>
    <mergeCell ref="BL9:CE10"/>
    <mergeCell ref="BL5:CE6"/>
    <mergeCell ref="BL13:BT14"/>
    <mergeCell ref="BV13:CE14"/>
    <mergeCell ref="BL21:CE21"/>
    <mergeCell ref="BL27:CE27"/>
    <mergeCell ref="BL28:CE28"/>
  </mergeCells>
  <hyperlinks>
    <hyperlink ref="BV13:CE14" location="'Income Tax Ass New.'!Print_Area" display="Income Tax Ass. New" xr:uid="{00000000-0004-0000-0000-000000000000}"/>
    <hyperlink ref="BV16:CE17" location="'FORM16 New'!Print_Area" display="FORM16 New" xr:uid="{00000000-0004-0000-0000-000001000000}"/>
    <hyperlink ref="BL13:BT14" location="'FORM16 old'!Print_Area" display="Income Tax Ass old " xr:uid="{00000000-0004-0000-0000-000002000000}"/>
    <hyperlink ref="BL5:CE6" location="'Salary Details'!Print_Area" display="Salary Details" xr:uid="{00000000-0004-0000-0000-000003000000}"/>
    <hyperlink ref="BL9:CE10" location="'7th PAY MATRIX TABLE'!Print_Area" display="7th PAY MATRIX TABLE" xr:uid="{00000000-0004-0000-0000-000004000000}"/>
    <hyperlink ref="BL16:BT17" location="'Income Tax Ass. (old)'!Print_Area" display="FORM16 Old" xr:uid="{00000000-0004-0000-0000-000005000000}"/>
    <hyperlink ref="BL16:BU17" location="'Income Tax Ass. (old)'!Print_Area" display="FORM16 Old" xr:uid="{00000000-0004-0000-0000-000006000000}"/>
    <hyperlink ref="BL25:CE26" r:id="rId1" display="FEEDBACK" xr:uid="{00000000-0004-0000-0000-000007000000}"/>
    <hyperlink ref="BL19:CE20" r:id="rId2" display="EMOU WEBSITE" xr:uid="{00000000-0004-0000-0000-000008000000}"/>
    <hyperlink ref="BL22:CE23" r:id="rId3" display="Salary Annual Statement Check" xr:uid="{00000000-0004-0000-0000-000009000000}"/>
    <hyperlink ref="A4:T5" location="'Salary Details'!Print_Area" display="Salary Details" xr:uid="{00000000-0004-0000-0000-00000A000000}"/>
    <hyperlink ref="BL2:CE3" location="'Personal Information'!A1" display="Personal Information" xr:uid="{00000000-0004-0000-0000-00000B000000}"/>
  </hyperlinks>
  <pageMargins left="0.25" right="0" top="0.25" bottom="1" header="0.5" footer="0.5"/>
  <pageSetup scale="54" orientation="portrait" horizontalDpi="180" verticalDpi="180" r:id="rId4"/>
  <headerFooter alignWithMargins="0"/>
  <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J19:J20"/>
  <sheetViews>
    <sheetView workbookViewId="0">
      <selection activeCell="J19" sqref="J19:J20"/>
    </sheetView>
  </sheetViews>
  <sheetFormatPr defaultColWidth="9" defaultRowHeight="12.75"/>
  <sheetData>
    <row r="19" spans="10:10">
      <c r="J19" s="1242" t="s">
        <v>237</v>
      </c>
    </row>
    <row r="20" spans="10:10">
      <c r="J20" s="1242"/>
    </row>
  </sheetData>
  <mergeCells count="1">
    <mergeCell ref="J19:J2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9" defaultRowHeight="12.7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workbookViewId="0">
      <selection activeCell="K17" sqref="K17"/>
    </sheetView>
  </sheetViews>
  <sheetFormatPr defaultColWidth="9" defaultRowHeight="12.75"/>
  <sheetData>
    <row r="1" spans="1:6">
      <c r="A1" s="1243">
        <v>1</v>
      </c>
      <c r="B1" s="1246" t="s">
        <v>583</v>
      </c>
      <c r="C1" s="1252" t="s">
        <v>584</v>
      </c>
      <c r="D1" s="1253"/>
      <c r="E1" s="1254"/>
      <c r="F1" s="2">
        <v>3212</v>
      </c>
    </row>
    <row r="2" spans="1:6">
      <c r="A2" s="1244"/>
      <c r="B2" s="1247"/>
      <c r="C2" s="1252" t="s">
        <v>585</v>
      </c>
      <c r="D2" s="1253"/>
      <c r="E2" s="1254"/>
      <c r="F2" s="3"/>
    </row>
    <row r="3" spans="1:6">
      <c r="A3" s="1244"/>
      <c r="B3" s="1247"/>
      <c r="C3" s="1252" t="s">
        <v>586</v>
      </c>
      <c r="D3" s="1253"/>
      <c r="E3" s="1254"/>
      <c r="F3" s="3"/>
    </row>
    <row r="4" spans="1:6">
      <c r="A4" s="1244"/>
      <c r="B4" s="1247"/>
      <c r="C4" s="1252" t="s">
        <v>587</v>
      </c>
      <c r="D4" s="1253"/>
      <c r="E4" s="1254"/>
      <c r="F4" s="3"/>
    </row>
    <row r="5" spans="1:6">
      <c r="A5" s="1244"/>
      <c r="B5" s="1247"/>
      <c r="C5" s="1252" t="s">
        <v>588</v>
      </c>
      <c r="D5" s="1253"/>
      <c r="E5" s="1254"/>
      <c r="F5" s="3">
        <v>200000</v>
      </c>
    </row>
    <row r="6" spans="1:6">
      <c r="A6" s="1244"/>
      <c r="B6" s="1247"/>
      <c r="C6" s="1249" t="s">
        <v>589</v>
      </c>
      <c r="D6" s="1250"/>
      <c r="E6" s="1251"/>
      <c r="F6" s="3"/>
    </row>
    <row r="7" spans="1:6">
      <c r="A7" s="1245"/>
      <c r="B7" s="1248"/>
      <c r="C7" s="1252" t="s">
        <v>590</v>
      </c>
      <c r="D7" s="1253"/>
      <c r="E7" s="1254"/>
      <c r="F7" s="3"/>
    </row>
    <row r="8" spans="1:6">
      <c r="A8" s="4">
        <v>12</v>
      </c>
      <c r="B8" s="1252" t="s">
        <v>591</v>
      </c>
      <c r="C8" s="1253"/>
      <c r="D8" s="1253"/>
      <c r="E8" s="1254"/>
      <c r="F8" s="5"/>
    </row>
    <row r="9" spans="1:6">
      <c r="A9" s="4">
        <v>14</v>
      </c>
      <c r="B9" s="1252" t="s">
        <v>592</v>
      </c>
      <c r="C9" s="1253"/>
      <c r="D9" s="1253"/>
      <c r="E9" s="1254"/>
      <c r="F9" s="3"/>
    </row>
    <row r="10" spans="1:6">
      <c r="A10" s="4">
        <v>15</v>
      </c>
      <c r="B10" s="1252" t="s">
        <v>593</v>
      </c>
      <c r="C10" s="1253"/>
      <c r="D10" s="1253"/>
      <c r="E10" s="1254"/>
      <c r="F10" s="3"/>
    </row>
  </sheetData>
  <mergeCells count="12">
    <mergeCell ref="B9:E9"/>
    <mergeCell ref="B10:E10"/>
    <mergeCell ref="C1:E1"/>
    <mergeCell ref="C2:E2"/>
    <mergeCell ref="C3:E3"/>
    <mergeCell ref="C4:E4"/>
    <mergeCell ref="C5:E5"/>
    <mergeCell ref="A1:A7"/>
    <mergeCell ref="B1:B7"/>
    <mergeCell ref="C6:E6"/>
    <mergeCell ref="C7:E7"/>
    <mergeCell ref="B8:E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K21"/>
  <sheetViews>
    <sheetView workbookViewId="0">
      <selection activeCell="K21" sqref="K21"/>
    </sheetView>
  </sheetViews>
  <sheetFormatPr defaultColWidth="9" defaultRowHeight="12.75"/>
  <sheetData>
    <row r="21" spans="11:11">
      <c r="K21" s="1" t="s">
        <v>594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00B0F0"/>
  </sheetPr>
  <dimension ref="A1:CL576"/>
  <sheetViews>
    <sheetView showGridLines="0" view="pageBreakPreview" topLeftCell="B1" zoomScale="90" zoomScaleNormal="90" workbookViewId="0">
      <selection activeCell="BP2" sqref="BP2"/>
    </sheetView>
  </sheetViews>
  <sheetFormatPr defaultColWidth="9" defaultRowHeight="12.75"/>
  <cols>
    <col min="1" max="1" width="2.7109375" hidden="1" customWidth="1"/>
    <col min="2" max="2" width="25.7109375" customWidth="1"/>
    <col min="3" max="5" width="2.7109375" customWidth="1"/>
    <col min="6" max="6" width="3" customWidth="1"/>
    <col min="7" max="7" width="3.85546875" customWidth="1"/>
    <col min="8" max="8" width="3.7109375" customWidth="1"/>
    <col min="9" max="9" width="3.85546875" customWidth="1"/>
    <col min="10" max="10" width="2.7109375" customWidth="1"/>
    <col min="11" max="11" width="3.140625" customWidth="1"/>
    <col min="12" max="12" width="4" customWidth="1"/>
    <col min="13" max="13" width="4.42578125" customWidth="1"/>
    <col min="14" max="17" width="2.7109375" customWidth="1"/>
    <col min="18" max="18" width="5.28515625" customWidth="1"/>
    <col min="19" max="22" width="2.7109375" customWidth="1"/>
    <col min="23" max="23" width="4.5703125" customWidth="1"/>
    <col min="24" max="24" width="3" customWidth="1"/>
    <col min="25" max="25" width="3.140625" customWidth="1"/>
    <col min="26" max="26" width="4.7109375" customWidth="1"/>
    <col min="27" max="27" width="4.85546875" customWidth="1"/>
    <col min="28" max="28" width="2.7109375" customWidth="1"/>
    <col min="29" max="29" width="13.42578125" customWidth="1"/>
    <col min="30" max="30" width="1.42578125" hidden="1" customWidth="1"/>
    <col min="31" max="31" width="8" hidden="1" customWidth="1"/>
    <col min="32" max="32" width="8.140625" hidden="1" customWidth="1"/>
    <col min="33" max="33" width="10.42578125" hidden="1" customWidth="1"/>
    <col min="34" max="34" width="7.28515625" hidden="1" customWidth="1"/>
    <col min="35" max="35" width="9" hidden="1" customWidth="1"/>
    <col min="36" max="38" width="9.140625" hidden="1" customWidth="1"/>
    <col min="39" max="39" width="1.42578125" hidden="1" customWidth="1"/>
    <col min="40" max="40" width="1.28515625" hidden="1" customWidth="1"/>
    <col min="41" max="41" width="11.28515625" hidden="1" customWidth="1"/>
    <col min="42" max="42" width="5.7109375" hidden="1" customWidth="1"/>
    <col min="43" max="43" width="6.140625" hidden="1" customWidth="1"/>
    <col min="44" max="44" width="6" hidden="1" customWidth="1"/>
    <col min="45" max="45" width="13.5703125" hidden="1" customWidth="1"/>
    <col min="46" max="47" width="5.85546875" hidden="1" customWidth="1"/>
    <col min="48" max="48" width="5.7109375" hidden="1" customWidth="1"/>
    <col min="49" max="49" width="5.85546875" hidden="1" customWidth="1"/>
    <col min="50" max="50" width="6" hidden="1" customWidth="1"/>
    <col min="51" max="51" width="5.85546875" hidden="1" customWidth="1"/>
    <col min="52" max="52" width="6.85546875" hidden="1" customWidth="1"/>
    <col min="53" max="53" width="5.7109375" hidden="1" customWidth="1"/>
    <col min="54" max="54" width="0.140625" customWidth="1"/>
    <col min="55" max="55" width="12" customWidth="1"/>
    <col min="56" max="56" width="6.7109375" customWidth="1"/>
    <col min="57" max="57" width="8.7109375" customWidth="1"/>
    <col min="58" max="59" width="2.7109375" customWidth="1"/>
    <col min="60" max="60" width="0.140625" customWidth="1"/>
    <col min="61" max="61" width="0.42578125" customWidth="1"/>
    <col min="62" max="62" width="3.7109375" customWidth="1"/>
    <col min="63" max="64" width="0.140625" customWidth="1"/>
    <col min="65" max="65" width="1.85546875" customWidth="1"/>
    <col min="66" max="66" width="0.7109375" customWidth="1"/>
    <col min="67" max="72" width="2.7109375" customWidth="1"/>
    <col min="73" max="73" width="0.140625" customWidth="1"/>
    <col min="74" max="74" width="2.7109375" customWidth="1"/>
    <col min="75" max="75" width="9" customWidth="1"/>
    <col min="76" max="81" width="2.7109375" customWidth="1"/>
    <col min="82" max="82" width="18.5703125" customWidth="1"/>
    <col min="83" max="83" width="9.42578125" customWidth="1"/>
    <col min="84" max="84" width="9.140625" customWidth="1"/>
    <col min="85" max="90" width="9.140625" hidden="1" customWidth="1"/>
    <col min="91" max="132" width="9.140625" customWidth="1"/>
  </cols>
  <sheetData>
    <row r="1" spans="1:86" ht="25.5" customHeight="1">
      <c r="B1" s="1023" t="s">
        <v>61</v>
      </c>
      <c r="C1" s="1024"/>
      <c r="D1" s="1024"/>
      <c r="E1" s="1024"/>
      <c r="F1" s="1024"/>
      <c r="G1" s="1024"/>
      <c r="H1" s="1024"/>
      <c r="I1" s="1024"/>
      <c r="J1" s="1024"/>
      <c r="K1" s="1024"/>
      <c r="L1" s="1024"/>
      <c r="M1" s="1024"/>
      <c r="N1" s="1024"/>
      <c r="O1" s="1024"/>
      <c r="P1" s="1024"/>
      <c r="Q1" s="1024"/>
      <c r="R1" s="1024"/>
      <c r="S1" s="1024"/>
      <c r="T1" s="1024"/>
      <c r="U1" s="1024"/>
      <c r="V1" s="1024"/>
      <c r="W1" s="1024"/>
      <c r="X1" s="1024"/>
      <c r="Y1" s="1024"/>
      <c r="Z1" s="1024"/>
      <c r="AA1" s="1024"/>
      <c r="AB1" s="1024"/>
      <c r="AC1" s="1025"/>
    </row>
    <row r="2" spans="1:86" ht="19.5" customHeight="1">
      <c r="A2" s="455" t="s">
        <v>8</v>
      </c>
      <c r="B2" s="1026" t="s">
        <v>62</v>
      </c>
      <c r="C2" s="1026"/>
      <c r="D2" s="1026"/>
      <c r="E2" s="1026"/>
      <c r="F2" s="1026"/>
      <c r="G2" s="1026"/>
      <c r="H2" s="1026"/>
      <c r="I2" s="1026"/>
      <c r="J2" s="1026"/>
      <c r="K2" s="1026"/>
      <c r="L2" s="1026"/>
      <c r="M2" s="1026"/>
      <c r="N2" s="1026"/>
      <c r="O2" s="1026"/>
      <c r="P2" s="1026"/>
      <c r="Q2" s="1026"/>
      <c r="R2" s="1026"/>
      <c r="S2" s="1026"/>
      <c r="T2" s="1026"/>
      <c r="U2" s="1026"/>
      <c r="V2" s="1026"/>
      <c r="W2" s="1026"/>
      <c r="X2" s="1026"/>
      <c r="Y2" s="1026"/>
      <c r="Z2" s="1026"/>
      <c r="AA2" s="1027"/>
      <c r="AB2" s="1027"/>
      <c r="AC2" s="1028"/>
      <c r="AN2" s="618"/>
      <c r="AO2" s="1059" t="s">
        <v>9</v>
      </c>
      <c r="AP2" s="1060"/>
      <c r="AQ2" s="1060"/>
      <c r="AR2" s="1060"/>
      <c r="AS2" s="1060"/>
      <c r="AT2" s="1060"/>
      <c r="AU2" s="1060"/>
      <c r="AV2" s="1060"/>
      <c r="AW2" s="1060"/>
      <c r="AX2" s="1060"/>
      <c r="AY2" s="1060"/>
      <c r="AZ2" s="1060"/>
      <c r="BA2" s="1060"/>
      <c r="BJ2" s="645" t="s">
        <v>63</v>
      </c>
    </row>
    <row r="3" spans="1:86" s="6" customFormat="1" ht="21.75" customHeight="1">
      <c r="A3" s="456">
        <v>1</v>
      </c>
      <c r="B3" s="457" t="s">
        <v>64</v>
      </c>
      <c r="C3" s="1056" t="s">
        <v>65</v>
      </c>
      <c r="D3" s="1057"/>
      <c r="E3" s="1057"/>
      <c r="F3" s="1057"/>
      <c r="G3" s="1057"/>
      <c r="H3" s="1057"/>
      <c r="I3" s="1057"/>
      <c r="J3" s="1057"/>
      <c r="K3" s="1057"/>
      <c r="L3" s="1057"/>
      <c r="M3" s="1057"/>
      <c r="N3" s="1057"/>
      <c r="O3" s="1058"/>
      <c r="P3" s="1050" t="s">
        <v>66</v>
      </c>
      <c r="Q3" s="1051"/>
      <c r="R3" s="1051"/>
      <c r="S3" s="1051"/>
      <c r="T3" s="1051"/>
      <c r="U3" s="1051"/>
      <c r="V3" s="1051"/>
      <c r="W3" s="1051"/>
      <c r="X3" s="1051"/>
      <c r="Y3" s="1051"/>
      <c r="Z3" s="1052"/>
      <c r="AA3" s="1029" t="s">
        <v>67</v>
      </c>
      <c r="AB3" s="1030"/>
      <c r="AC3" s="1031"/>
      <c r="AD3"/>
      <c r="AE3"/>
      <c r="AF3" s="6">
        <f>J10</f>
        <v>59</v>
      </c>
      <c r="AN3" s="619"/>
      <c r="AO3" s="1061"/>
      <c r="AP3" s="1062"/>
      <c r="AQ3" s="1062"/>
      <c r="AR3" s="1062"/>
      <c r="AS3" s="1062"/>
      <c r="AT3" s="1062"/>
      <c r="AU3" s="1062"/>
      <c r="AV3" s="1062"/>
      <c r="AW3" s="1062"/>
      <c r="AX3" s="1062"/>
      <c r="AY3" s="1062"/>
      <c r="AZ3" s="1062"/>
      <c r="BA3" s="1062"/>
      <c r="BB3"/>
      <c r="BC3"/>
      <c r="BD3" s="637"/>
      <c r="BE3" s="637"/>
      <c r="BF3" s="637"/>
      <c r="BG3" s="637"/>
      <c r="BH3" s="637"/>
      <c r="BI3" s="637"/>
      <c r="BJ3" s="637"/>
      <c r="BK3" s="637"/>
      <c r="BL3" s="637"/>
      <c r="BM3" s="637"/>
      <c r="BN3" s="637"/>
      <c r="BO3" s="637"/>
      <c r="BP3" s="637"/>
      <c r="BQ3" s="637"/>
      <c r="BR3" s="637"/>
      <c r="BS3" s="637"/>
      <c r="BT3" s="637"/>
      <c r="BU3" s="637"/>
      <c r="BV3" s="637"/>
      <c r="BW3" s="637"/>
      <c r="BX3"/>
      <c r="BY3"/>
      <c r="BZ3"/>
      <c r="CA3"/>
      <c r="CB3"/>
      <c r="CC3"/>
      <c r="CD3"/>
    </row>
    <row r="4" spans="1:86" s="6" customFormat="1" ht="16.5" customHeight="1">
      <c r="A4" s="458"/>
      <c r="B4" s="459"/>
      <c r="C4" s="835"/>
      <c r="D4" s="836"/>
      <c r="E4" s="836"/>
      <c r="F4" s="836"/>
      <c r="G4" s="836"/>
      <c r="H4" s="836"/>
      <c r="I4" s="836"/>
      <c r="J4" s="836"/>
      <c r="K4" s="836"/>
      <c r="L4" s="836"/>
      <c r="M4" s="836"/>
      <c r="N4" s="836"/>
      <c r="O4" s="837"/>
      <c r="P4" s="1053"/>
      <c r="Q4" s="1054"/>
      <c r="R4" s="1054"/>
      <c r="S4" s="1054"/>
      <c r="T4" s="1054"/>
      <c r="U4" s="1054"/>
      <c r="V4" s="1054"/>
      <c r="W4" s="1054"/>
      <c r="X4" s="1054"/>
      <c r="Y4" s="1054"/>
      <c r="Z4" s="1055"/>
      <c r="AA4" s="1032">
        <v>24045</v>
      </c>
      <c r="AB4" s="1033"/>
      <c r="AC4" s="1034"/>
      <c r="AD4"/>
      <c r="AE4"/>
      <c r="AN4" s="620"/>
      <c r="AO4" s="362" t="s">
        <v>14</v>
      </c>
      <c r="AP4" s="1035" t="s">
        <v>15</v>
      </c>
      <c r="AQ4" s="1036"/>
      <c r="AR4" s="1036"/>
      <c r="AS4" s="1036"/>
      <c r="AT4" s="1037"/>
      <c r="AU4" s="1038" t="s">
        <v>16</v>
      </c>
      <c r="AV4" s="1039"/>
      <c r="AW4" s="1039"/>
      <c r="AX4" s="1040"/>
      <c r="AY4" s="817" t="s">
        <v>10</v>
      </c>
      <c r="AZ4" s="818"/>
      <c r="BA4" s="818"/>
      <c r="BB4"/>
      <c r="BC4"/>
      <c r="BD4" s="819" t="s">
        <v>4</v>
      </c>
      <c r="BE4" s="819"/>
      <c r="BF4" s="819"/>
      <c r="BG4" s="819"/>
      <c r="BH4" s="819"/>
      <c r="BI4" s="819"/>
      <c r="BJ4" s="819"/>
      <c r="BK4" s="819"/>
      <c r="BL4" s="819"/>
      <c r="BM4" s="819"/>
      <c r="BN4" s="819"/>
      <c r="BO4" s="819"/>
      <c r="BP4" s="820" t="s">
        <v>68</v>
      </c>
      <c r="BQ4" s="820"/>
      <c r="BR4" s="820"/>
      <c r="BS4" s="820"/>
      <c r="BT4" s="820"/>
      <c r="BU4" s="820"/>
      <c r="BV4" s="820"/>
      <c r="BW4" s="820"/>
      <c r="BX4"/>
      <c r="BY4"/>
      <c r="BZ4"/>
      <c r="CA4"/>
      <c r="CB4"/>
      <c r="CC4"/>
      <c r="CD4"/>
    </row>
    <row r="5" spans="1:86" ht="18" customHeight="1">
      <c r="A5" s="460">
        <v>2</v>
      </c>
      <c r="B5" s="461" t="s">
        <v>69</v>
      </c>
      <c r="C5" s="1041"/>
      <c r="D5" s="1042"/>
      <c r="E5" s="1042"/>
      <c r="F5" s="1042"/>
      <c r="G5" s="1042"/>
      <c r="H5" s="1042"/>
      <c r="I5" s="1042"/>
      <c r="J5" s="1042"/>
      <c r="K5" s="1042"/>
      <c r="L5" s="1042"/>
      <c r="M5" s="1042"/>
      <c r="N5" s="1042"/>
      <c r="O5" s="1042"/>
      <c r="P5" s="1043" t="s">
        <v>70</v>
      </c>
      <c r="Q5" s="1044"/>
      <c r="R5" s="1044"/>
      <c r="S5" s="1044"/>
      <c r="T5" s="1044"/>
      <c r="U5" s="1045"/>
      <c r="V5" s="1046"/>
      <c r="W5" s="1047"/>
      <c r="X5" s="1047"/>
      <c r="Y5" s="1047"/>
      <c r="Z5" s="1048"/>
      <c r="AA5" s="1049">
        <v>45747</v>
      </c>
      <c r="AB5" s="1049"/>
      <c r="AC5" s="1049"/>
      <c r="AF5" s="588"/>
      <c r="AN5" s="621"/>
      <c r="AO5" s="365" t="s">
        <v>19</v>
      </c>
      <c r="AP5" s="366">
        <v>1800</v>
      </c>
      <c r="AQ5" s="367">
        <v>1900</v>
      </c>
      <c r="AR5" s="367">
        <v>2000</v>
      </c>
      <c r="AS5" s="368">
        <v>2400</v>
      </c>
      <c r="AT5" s="369">
        <v>2800</v>
      </c>
      <c r="AU5" s="370">
        <v>4200</v>
      </c>
      <c r="AV5" s="371">
        <v>4600</v>
      </c>
      <c r="AW5" s="371">
        <v>4800</v>
      </c>
      <c r="AX5" s="399">
        <v>5400</v>
      </c>
      <c r="AY5" s="400">
        <v>5400</v>
      </c>
      <c r="AZ5" s="401">
        <v>6600</v>
      </c>
      <c r="BA5" s="638">
        <v>7600</v>
      </c>
      <c r="BD5" s="819"/>
      <c r="BE5" s="819"/>
      <c r="BF5" s="819"/>
      <c r="BG5" s="819"/>
      <c r="BH5" s="819"/>
      <c r="BI5" s="819"/>
      <c r="BJ5" s="819"/>
      <c r="BK5" s="819"/>
      <c r="BL5" s="819"/>
      <c r="BM5" s="819"/>
      <c r="BN5" s="819"/>
      <c r="BO5" s="819"/>
      <c r="BP5" s="820"/>
      <c r="BQ5" s="820"/>
      <c r="BR5" s="820"/>
      <c r="BS5" s="820"/>
      <c r="BT5" s="820"/>
      <c r="BU5" s="820"/>
      <c r="BV5" s="820"/>
      <c r="BW5" s="820"/>
      <c r="CH5" t="e">
        <f>#REF!</f>
        <v>#REF!</v>
      </c>
    </row>
    <row r="6" spans="1:86" ht="16.5" customHeight="1">
      <c r="A6" s="460">
        <v>3</v>
      </c>
      <c r="B6" s="461" t="s">
        <v>71</v>
      </c>
      <c r="C6" s="897"/>
      <c r="D6" s="898"/>
      <c r="E6" s="898"/>
      <c r="F6" s="898"/>
      <c r="G6" s="898"/>
      <c r="H6" s="898"/>
      <c r="I6" s="898"/>
      <c r="J6" s="898"/>
      <c r="K6" s="898"/>
      <c r="L6" s="898"/>
      <c r="M6" s="898"/>
      <c r="N6" s="899"/>
      <c r="O6" s="513"/>
      <c r="P6" s="514"/>
      <c r="Q6" s="514"/>
      <c r="R6" s="514"/>
      <c r="S6" s="1012" t="s">
        <v>72</v>
      </c>
      <c r="T6" s="1012"/>
      <c r="U6" s="1012"/>
      <c r="V6" s="1012"/>
      <c r="W6" s="1012"/>
      <c r="X6" s="1012"/>
      <c r="Y6" s="1012"/>
      <c r="Z6" s="1012"/>
      <c r="AA6" s="1012" t="s">
        <v>73</v>
      </c>
      <c r="AB6" s="1012"/>
      <c r="AC6" s="1012"/>
      <c r="AE6">
        <f>M13</f>
        <v>0</v>
      </c>
      <c r="AF6">
        <f>X8</f>
        <v>0</v>
      </c>
      <c r="AH6">
        <f>ROUND((AF6)*0.1,0)</f>
        <v>0</v>
      </c>
      <c r="AN6" s="622"/>
      <c r="AO6" s="372" t="s">
        <v>21</v>
      </c>
      <c r="AP6" s="373">
        <v>1</v>
      </c>
      <c r="AQ6" s="374">
        <v>2</v>
      </c>
      <c r="AR6" s="374">
        <v>3</v>
      </c>
      <c r="AS6" s="374">
        <v>4</v>
      </c>
      <c r="AT6" s="375">
        <v>5</v>
      </c>
      <c r="AU6" s="376">
        <v>6</v>
      </c>
      <c r="AV6" s="377">
        <v>7</v>
      </c>
      <c r="AW6" s="377">
        <v>8</v>
      </c>
      <c r="AX6" s="403">
        <v>9</v>
      </c>
      <c r="AY6" s="404">
        <v>10</v>
      </c>
      <c r="AZ6" s="405">
        <v>11</v>
      </c>
      <c r="BA6" s="639">
        <v>12</v>
      </c>
      <c r="BD6" s="637"/>
      <c r="BE6" s="637"/>
      <c r="BF6" s="637"/>
      <c r="BG6" s="637"/>
      <c r="BH6" s="637"/>
      <c r="BI6" s="637"/>
      <c r="BJ6" s="637"/>
      <c r="BK6" s="637"/>
      <c r="BL6" s="637"/>
      <c r="BM6" s="637"/>
      <c r="BN6" s="637"/>
      <c r="BO6" s="637"/>
      <c r="BP6" s="637"/>
      <c r="BQ6" s="637"/>
      <c r="BR6" s="637"/>
      <c r="BS6" s="637"/>
      <c r="BT6" s="637"/>
      <c r="BU6" s="637"/>
      <c r="BV6" s="637"/>
      <c r="BW6" s="637"/>
      <c r="CH6" t="e">
        <f>#REF!</f>
        <v>#REF!</v>
      </c>
    </row>
    <row r="7" spans="1:86" ht="15.75" customHeight="1">
      <c r="A7" s="460"/>
      <c r="B7" s="462" t="s">
        <v>74</v>
      </c>
      <c r="C7" s="1013" t="s">
        <v>75</v>
      </c>
      <c r="D7" s="1014"/>
      <c r="E7" s="1015"/>
      <c r="F7" s="897"/>
      <c r="G7" s="898"/>
      <c r="H7" s="899"/>
      <c r="I7" s="515" t="s">
        <v>76</v>
      </c>
      <c r="J7" s="516"/>
      <c r="K7" s="1016" t="s">
        <v>77</v>
      </c>
      <c r="L7" s="1017"/>
      <c r="M7" s="1018"/>
      <c r="N7" s="1019"/>
      <c r="O7" s="1020"/>
      <c r="P7" s="1020"/>
      <c r="Q7" s="1020"/>
      <c r="R7" s="1021"/>
      <c r="S7" s="1022" t="s">
        <v>78</v>
      </c>
      <c r="T7" s="1022"/>
      <c r="U7" s="1022"/>
      <c r="V7" s="1022"/>
      <c r="W7" s="1022"/>
      <c r="X7" s="1002">
        <v>0</v>
      </c>
      <c r="Y7" s="1002"/>
      <c r="Z7" s="1002"/>
      <c r="AA7" s="1002">
        <f>AH11</f>
        <v>0</v>
      </c>
      <c r="AB7" s="1002"/>
      <c r="AC7" s="1002"/>
      <c r="AF7" s="589"/>
      <c r="AJ7">
        <f>AA7</f>
        <v>0</v>
      </c>
      <c r="AN7" s="623"/>
      <c r="AO7" s="378">
        <v>1</v>
      </c>
      <c r="AP7" s="379">
        <v>18000</v>
      </c>
      <c r="AQ7" s="380">
        <v>19900</v>
      </c>
      <c r="AR7" s="380">
        <v>21700</v>
      </c>
      <c r="AS7" s="380">
        <v>25500</v>
      </c>
      <c r="AT7" s="381">
        <v>29200</v>
      </c>
      <c r="AU7" s="382">
        <v>35400</v>
      </c>
      <c r="AV7" s="383">
        <v>44900</v>
      </c>
      <c r="AW7" s="383">
        <v>47600</v>
      </c>
      <c r="AX7" s="407">
        <v>53100</v>
      </c>
      <c r="AY7" s="408">
        <v>56100</v>
      </c>
      <c r="AZ7" s="409">
        <v>67700</v>
      </c>
      <c r="BA7" s="640">
        <v>78800</v>
      </c>
      <c r="BD7" s="793" t="s">
        <v>13</v>
      </c>
      <c r="BE7" s="794"/>
      <c r="BF7" s="794"/>
      <c r="BG7" s="794"/>
      <c r="BH7" s="794"/>
      <c r="BI7" s="794"/>
      <c r="BJ7" s="794"/>
      <c r="BK7" s="794"/>
      <c r="BL7" s="794"/>
      <c r="BM7" s="794"/>
      <c r="BN7" s="794"/>
      <c r="BO7" s="794"/>
      <c r="BP7" s="794"/>
      <c r="BQ7" s="794"/>
      <c r="BR7" s="794"/>
      <c r="BS7" s="794"/>
      <c r="BT7" s="794"/>
      <c r="BU7" s="794"/>
      <c r="BV7" s="794"/>
      <c r="BW7" s="795"/>
      <c r="CH7" t="e">
        <f>#REF!</f>
        <v>#REF!</v>
      </c>
    </row>
    <row r="8" spans="1:86" ht="15" customHeight="1">
      <c r="A8" s="460"/>
      <c r="B8" s="462" t="s">
        <v>79</v>
      </c>
      <c r="C8" s="463"/>
      <c r="D8" s="464"/>
      <c r="E8" s="464"/>
      <c r="F8" s="464"/>
      <c r="G8" s="465"/>
      <c r="H8" s="466"/>
      <c r="I8" s="466"/>
      <c r="J8" s="517"/>
      <c r="K8" s="518"/>
      <c r="L8" s="517"/>
      <c r="M8" s="999" t="str">
        <f>C8&amp;D8&amp;E8&amp;F8&amp;G8&amp;H8&amp;I8&amp;J8&amp;K8&amp;L8</f>
        <v/>
      </c>
      <c r="N8" s="1000"/>
      <c r="O8" s="1000"/>
      <c r="P8" s="1000"/>
      <c r="Q8" s="1000"/>
      <c r="R8" s="1001"/>
      <c r="S8" s="556" t="s">
        <v>80</v>
      </c>
      <c r="T8" s="556"/>
      <c r="U8" s="556"/>
      <c r="V8" s="556"/>
      <c r="W8" s="556"/>
      <c r="X8" s="1002">
        <v>0</v>
      </c>
      <c r="Y8" s="1002"/>
      <c r="Z8" s="1002"/>
      <c r="AA8" s="1002">
        <f>AH6</f>
        <v>0</v>
      </c>
      <c r="AB8" s="1002"/>
      <c r="AC8" s="1002"/>
      <c r="AJ8">
        <f>AA8</f>
        <v>0</v>
      </c>
      <c r="AN8" s="624"/>
      <c r="AO8" s="384">
        <v>2</v>
      </c>
      <c r="AP8" s="385">
        <v>18500</v>
      </c>
      <c r="AQ8" s="386">
        <v>20500</v>
      </c>
      <c r="AR8" s="386">
        <v>22400</v>
      </c>
      <c r="AS8" s="386">
        <v>26300</v>
      </c>
      <c r="AT8" s="387">
        <v>30100</v>
      </c>
      <c r="AU8" s="388">
        <v>36500</v>
      </c>
      <c r="AV8" s="389">
        <v>46200</v>
      </c>
      <c r="AW8" s="389">
        <v>49000</v>
      </c>
      <c r="AX8" s="411">
        <v>54700</v>
      </c>
      <c r="AY8" s="412">
        <v>57800</v>
      </c>
      <c r="AZ8" s="413">
        <v>69700</v>
      </c>
      <c r="BA8" s="641">
        <v>81200</v>
      </c>
      <c r="BD8" s="796"/>
      <c r="BE8" s="797"/>
      <c r="BF8" s="797"/>
      <c r="BG8" s="797"/>
      <c r="BH8" s="797"/>
      <c r="BI8" s="797"/>
      <c r="BJ8" s="797"/>
      <c r="BK8" s="797"/>
      <c r="BL8" s="797"/>
      <c r="BM8" s="797"/>
      <c r="BN8" s="797"/>
      <c r="BO8" s="797"/>
      <c r="BP8" s="797"/>
      <c r="BQ8" s="797"/>
      <c r="BR8" s="797"/>
      <c r="BS8" s="797"/>
      <c r="BT8" s="797"/>
      <c r="BU8" s="797"/>
      <c r="BV8" s="797"/>
      <c r="BW8" s="798"/>
      <c r="CH8" t="e">
        <f>#REF!</f>
        <v>#REF!</v>
      </c>
    </row>
    <row r="9" spans="1:86" ht="15.75">
      <c r="A9" s="460"/>
      <c r="B9" s="467" t="s">
        <v>81</v>
      </c>
      <c r="C9" s="904"/>
      <c r="D9" s="905"/>
      <c r="E9" s="905"/>
      <c r="F9" s="905"/>
      <c r="G9" s="905"/>
      <c r="H9" s="905"/>
      <c r="I9" s="906"/>
      <c r="J9" s="939" t="s">
        <v>82</v>
      </c>
      <c r="K9" s="940"/>
      <c r="L9" s="940"/>
      <c r="M9" s="1003" t="s">
        <v>83</v>
      </c>
      <c r="N9" s="1004"/>
      <c r="O9" s="1004"/>
      <c r="P9" s="1004"/>
      <c r="Q9" s="1005"/>
      <c r="R9" s="1006">
        <v>0</v>
      </c>
      <c r="S9" s="1006"/>
      <c r="T9" s="1006"/>
      <c r="U9" s="1006"/>
      <c r="V9" s="1006"/>
      <c r="W9" s="557"/>
      <c r="X9" s="996"/>
      <c r="Y9" s="838" t="s">
        <v>84</v>
      </c>
      <c r="Z9" s="838"/>
      <c r="AA9" s="838"/>
      <c r="AB9" s="838"/>
      <c r="AC9" s="838"/>
      <c r="AF9">
        <f>X7</f>
        <v>0</v>
      </c>
      <c r="AN9" s="624"/>
      <c r="AO9" s="384">
        <v>3</v>
      </c>
      <c r="AP9" s="385">
        <v>19100</v>
      </c>
      <c r="AQ9" s="386">
        <v>21100</v>
      </c>
      <c r="AR9" s="386">
        <v>23100</v>
      </c>
      <c r="AS9" s="386">
        <v>27100</v>
      </c>
      <c r="AT9" s="387">
        <v>31000</v>
      </c>
      <c r="AU9" s="388">
        <v>37600</v>
      </c>
      <c r="AV9" s="389">
        <v>47600</v>
      </c>
      <c r="AW9" s="389">
        <v>50500</v>
      </c>
      <c r="AX9" s="411">
        <v>56300</v>
      </c>
      <c r="AY9" s="412">
        <v>59500</v>
      </c>
      <c r="AZ9" s="413">
        <v>71800</v>
      </c>
      <c r="BA9" s="641">
        <v>83600</v>
      </c>
      <c r="BD9" s="642"/>
      <c r="BE9" s="642"/>
      <c r="BF9" s="642"/>
      <c r="BG9" s="642"/>
      <c r="BH9" s="642"/>
      <c r="BI9" s="642"/>
      <c r="BJ9" s="642"/>
      <c r="BK9" s="642"/>
      <c r="BL9" s="642"/>
      <c r="BM9" s="642"/>
      <c r="BN9" s="642"/>
      <c r="BO9" s="642"/>
      <c r="BP9" s="642"/>
      <c r="BQ9" s="642"/>
      <c r="BR9" s="642"/>
      <c r="BS9" s="642"/>
      <c r="BT9" s="642"/>
      <c r="BU9" s="642"/>
      <c r="BV9" s="642"/>
      <c r="BW9" s="642"/>
      <c r="CH9" t="e">
        <f>#REF!</f>
        <v>#REF!</v>
      </c>
    </row>
    <row r="10" spans="1:86" ht="18">
      <c r="A10" s="460">
        <v>5</v>
      </c>
      <c r="B10" s="462" t="s">
        <v>85</v>
      </c>
      <c r="C10" s="965">
        <v>35000</v>
      </c>
      <c r="D10" s="966"/>
      <c r="E10" s="966"/>
      <c r="F10" s="967"/>
      <c r="G10" s="1007"/>
      <c r="H10" s="1008"/>
      <c r="I10" s="1008"/>
      <c r="J10" s="1009">
        <f>DATEDIF(AA4,AA5,"Y")</f>
        <v>59</v>
      </c>
      <c r="K10" s="1010"/>
      <c r="L10" s="1011"/>
      <c r="M10" s="519" t="s">
        <v>86</v>
      </c>
      <c r="N10" s="520"/>
      <c r="O10" s="520"/>
      <c r="P10" s="521"/>
      <c r="Q10" s="521"/>
      <c r="R10" s="521"/>
      <c r="S10" s="521"/>
      <c r="T10" s="521"/>
      <c r="U10" s="558"/>
      <c r="V10" s="559"/>
      <c r="W10" s="560"/>
      <c r="X10" s="997"/>
      <c r="Y10" s="838"/>
      <c r="Z10" s="838"/>
      <c r="AA10" s="838"/>
      <c r="AB10" s="838"/>
      <c r="AC10" s="838"/>
      <c r="AF10" s="358">
        <f>C18</f>
        <v>0</v>
      </c>
      <c r="AI10" s="7"/>
      <c r="AL10">
        <f>Y12</f>
        <v>0</v>
      </c>
      <c r="AN10" s="624"/>
      <c r="AO10" s="384">
        <v>4</v>
      </c>
      <c r="AP10" s="385">
        <v>19700</v>
      </c>
      <c r="AQ10" s="386">
        <v>21700</v>
      </c>
      <c r="AR10" s="386">
        <v>23800</v>
      </c>
      <c r="AS10" s="386">
        <v>27900</v>
      </c>
      <c r="AT10" s="387">
        <v>31500</v>
      </c>
      <c r="AU10" s="388">
        <v>38700</v>
      </c>
      <c r="AV10" s="389">
        <v>49000</v>
      </c>
      <c r="AW10" s="389">
        <v>52000</v>
      </c>
      <c r="AX10" s="411">
        <v>58000</v>
      </c>
      <c r="AY10" s="412">
        <v>61300</v>
      </c>
      <c r="AZ10" s="413">
        <v>74000</v>
      </c>
      <c r="BA10" s="641">
        <v>86100</v>
      </c>
      <c r="BD10" s="769" t="s">
        <v>23</v>
      </c>
      <c r="BE10" s="770"/>
      <c r="BF10" s="770"/>
      <c r="BG10" s="770"/>
      <c r="BH10" s="770"/>
      <c r="BI10" s="770"/>
      <c r="BJ10" s="770"/>
      <c r="BK10" s="770"/>
      <c r="BL10" s="771"/>
      <c r="BM10" s="652"/>
      <c r="BN10" s="769" t="s">
        <v>24</v>
      </c>
      <c r="BO10" s="770"/>
      <c r="BP10" s="770"/>
      <c r="BQ10" s="770"/>
      <c r="BR10" s="770"/>
      <c r="BS10" s="770"/>
      <c r="BT10" s="770"/>
      <c r="BU10" s="770"/>
      <c r="BV10" s="770"/>
      <c r="BW10" s="771"/>
      <c r="CH10" t="e">
        <f>#REF!</f>
        <v>#REF!</v>
      </c>
    </row>
    <row r="11" spans="1:86" ht="18" customHeight="1">
      <c r="A11" s="460">
        <v>6</v>
      </c>
      <c r="B11" s="469" t="s">
        <v>87</v>
      </c>
      <c r="C11" s="965">
        <v>2800</v>
      </c>
      <c r="D11" s="966"/>
      <c r="E11" s="966"/>
      <c r="F11" s="967"/>
      <c r="G11" s="978" t="s">
        <v>88</v>
      </c>
      <c r="H11" s="979"/>
      <c r="I11" s="979"/>
      <c r="J11" s="980"/>
      <c r="K11" s="522"/>
      <c r="L11" s="523"/>
      <c r="M11" s="981" t="s">
        <v>56</v>
      </c>
      <c r="N11" s="982"/>
      <c r="O11" s="982"/>
      <c r="P11" s="982"/>
      <c r="Q11" s="982"/>
      <c r="R11" s="982"/>
      <c r="S11" s="982"/>
      <c r="T11" s="982"/>
      <c r="U11" s="982"/>
      <c r="V11" s="982"/>
      <c r="W11" s="983"/>
      <c r="X11" s="998"/>
      <c r="Y11" s="984" t="s">
        <v>89</v>
      </c>
      <c r="Z11" s="985"/>
      <c r="AA11" s="985"/>
      <c r="AB11" s="985"/>
      <c r="AC11" s="985"/>
      <c r="AH11">
        <f>ROUND((X7)*0.1,0)</f>
        <v>0</v>
      </c>
      <c r="AJ11">
        <f>AA14</f>
        <v>0</v>
      </c>
      <c r="AN11" s="625"/>
      <c r="AO11" s="384">
        <v>5</v>
      </c>
      <c r="AP11" s="385">
        <v>20300</v>
      </c>
      <c r="AQ11" s="386">
        <v>22400</v>
      </c>
      <c r="AR11" s="386">
        <v>24500</v>
      </c>
      <c r="AS11" s="386">
        <v>28700</v>
      </c>
      <c r="AT11" s="387">
        <v>32900</v>
      </c>
      <c r="AU11" s="388">
        <v>39900</v>
      </c>
      <c r="AV11" s="389">
        <v>50500</v>
      </c>
      <c r="AW11" s="389">
        <v>53600</v>
      </c>
      <c r="AX11" s="411">
        <v>59700</v>
      </c>
      <c r="AY11" s="412">
        <v>63100</v>
      </c>
      <c r="AZ11" s="413">
        <v>76200</v>
      </c>
      <c r="BA11" s="641">
        <v>88700</v>
      </c>
      <c r="BD11" s="772"/>
      <c r="BE11" s="773"/>
      <c r="BF11" s="773"/>
      <c r="BG11" s="773"/>
      <c r="BH11" s="773"/>
      <c r="BI11" s="773"/>
      <c r="BJ11" s="773"/>
      <c r="BK11" s="773"/>
      <c r="BL11" s="774"/>
      <c r="BM11" s="653"/>
      <c r="BN11" s="772"/>
      <c r="BO11" s="773"/>
      <c r="BP11" s="773"/>
      <c r="BQ11" s="773"/>
      <c r="BR11" s="773"/>
      <c r="BS11" s="773"/>
      <c r="BT11" s="773"/>
      <c r="BU11" s="773"/>
      <c r="BV11" s="773"/>
      <c r="BW11" s="774"/>
      <c r="CH11" t="e">
        <f>#REF!</f>
        <v>#REF!</v>
      </c>
    </row>
    <row r="12" spans="1:86" ht="18.75" customHeight="1">
      <c r="A12" s="460">
        <v>7</v>
      </c>
      <c r="B12" s="462" t="s">
        <v>90</v>
      </c>
      <c r="C12" s="965">
        <v>1</v>
      </c>
      <c r="D12" s="966"/>
      <c r="E12" s="966"/>
      <c r="F12" s="967"/>
      <c r="G12" s="986">
        <f>ROUND((C10)*0.03,-2)</f>
        <v>1100</v>
      </c>
      <c r="H12" s="987"/>
      <c r="I12" s="987"/>
      <c r="J12" s="988"/>
      <c r="K12" s="989" t="s">
        <v>91</v>
      </c>
      <c r="L12" s="990"/>
      <c r="M12" s="990"/>
      <c r="N12" s="990"/>
      <c r="O12" s="990"/>
      <c r="P12" s="990"/>
      <c r="Q12" s="990"/>
      <c r="R12" s="990"/>
      <c r="S12" s="991"/>
      <c r="T12" s="992">
        <f>C10+G12</f>
        <v>36100</v>
      </c>
      <c r="U12" s="993"/>
      <c r="V12" s="993"/>
      <c r="W12" s="993"/>
      <c r="X12" s="994"/>
      <c r="Y12" s="995">
        <f>IF(Y11="Y",AL12,IF(Y11="N",AL13))</f>
        <v>0</v>
      </c>
      <c r="Z12" s="995"/>
      <c r="AA12" s="995"/>
      <c r="AB12" s="995"/>
      <c r="AC12" s="995"/>
      <c r="AE12" s="40"/>
      <c r="AF12" s="40"/>
      <c r="AG12" s="40"/>
      <c r="AH12" s="40"/>
      <c r="AL12" s="279">
        <f>'Salary Details'!I27</f>
        <v>3360</v>
      </c>
      <c r="AM12" s="626"/>
      <c r="AN12" s="621"/>
      <c r="AO12" s="384">
        <v>6</v>
      </c>
      <c r="AP12" s="385">
        <v>20900</v>
      </c>
      <c r="AQ12" s="386">
        <v>23100</v>
      </c>
      <c r="AR12" s="386">
        <v>25200</v>
      </c>
      <c r="AS12" s="386">
        <v>29600</v>
      </c>
      <c r="AT12" s="387">
        <v>33900</v>
      </c>
      <c r="AU12" s="388">
        <v>41100</v>
      </c>
      <c r="AV12" s="389">
        <v>52000</v>
      </c>
      <c r="AW12" s="389">
        <v>55200</v>
      </c>
      <c r="AX12" s="411">
        <v>61500</v>
      </c>
      <c r="AY12" s="412">
        <v>65000</v>
      </c>
      <c r="AZ12" s="413">
        <v>78500</v>
      </c>
      <c r="BA12" s="641">
        <v>91400</v>
      </c>
      <c r="BD12" s="642"/>
      <c r="BE12" s="642"/>
      <c r="BF12" s="642"/>
      <c r="BG12" s="642"/>
      <c r="BH12" s="642"/>
      <c r="BI12" s="642"/>
      <c r="BJ12" s="642"/>
      <c r="BK12" s="642"/>
      <c r="BL12" s="642"/>
      <c r="BM12" s="642"/>
      <c r="BN12" s="642"/>
      <c r="BO12" s="642"/>
      <c r="BP12" s="642"/>
      <c r="BQ12" s="642"/>
      <c r="BR12" s="642"/>
      <c r="BS12" s="642"/>
      <c r="BT12" s="642"/>
      <c r="BU12" s="642"/>
      <c r="BV12" s="642"/>
      <c r="BW12" s="642"/>
      <c r="CH12" t="e">
        <f>#REF!</f>
        <v>#REF!</v>
      </c>
    </row>
    <row r="13" spans="1:86" ht="15" customHeight="1">
      <c r="A13" s="460">
        <v>8</v>
      </c>
      <c r="B13" s="461" t="s">
        <v>92</v>
      </c>
      <c r="C13" s="965">
        <v>0</v>
      </c>
      <c r="D13" s="966"/>
      <c r="E13" s="966"/>
      <c r="F13" s="967"/>
      <c r="G13" s="968" t="s">
        <v>93</v>
      </c>
      <c r="H13" s="969"/>
      <c r="I13" s="969"/>
      <c r="J13" s="969"/>
      <c r="K13" s="969"/>
      <c r="L13" s="969"/>
      <c r="M13" s="970">
        <v>0</v>
      </c>
      <c r="N13" s="970"/>
      <c r="O13" s="970"/>
      <c r="P13" s="970"/>
      <c r="Q13" s="970"/>
      <c r="R13" s="970"/>
      <c r="S13" s="970"/>
      <c r="T13" s="970"/>
      <c r="U13" s="971" t="s">
        <v>94</v>
      </c>
      <c r="V13" s="971"/>
      <c r="W13" s="971"/>
      <c r="X13" s="971"/>
      <c r="Y13" s="971"/>
      <c r="Z13" s="971"/>
      <c r="AA13" s="972">
        <v>0</v>
      </c>
      <c r="AB13" s="973"/>
      <c r="AC13" s="974"/>
      <c r="AD13" s="93"/>
      <c r="AE13" t="s">
        <v>31</v>
      </c>
      <c r="AF13" s="41"/>
      <c r="AG13" s="41"/>
      <c r="AH13" s="41"/>
      <c r="AI13" s="39"/>
      <c r="AL13">
        <v>0</v>
      </c>
      <c r="AN13" s="627"/>
      <c r="AO13" s="384">
        <v>7</v>
      </c>
      <c r="AP13" s="385">
        <v>21500</v>
      </c>
      <c r="AQ13" s="386">
        <v>23800</v>
      </c>
      <c r="AR13" s="386">
        <v>26000</v>
      </c>
      <c r="AS13" s="386">
        <v>30500</v>
      </c>
      <c r="AT13" s="387">
        <v>34900</v>
      </c>
      <c r="AU13" s="388">
        <v>42300</v>
      </c>
      <c r="AV13" s="389">
        <v>53600</v>
      </c>
      <c r="AW13" s="389">
        <v>56900</v>
      </c>
      <c r="AX13" s="411">
        <v>63300</v>
      </c>
      <c r="AY13" s="412">
        <v>67000</v>
      </c>
      <c r="AZ13" s="413">
        <v>80900</v>
      </c>
      <c r="BA13" s="641">
        <v>94100</v>
      </c>
      <c r="BD13" s="839" t="s">
        <v>27</v>
      </c>
      <c r="BE13" s="840"/>
      <c r="BF13" s="840"/>
      <c r="BG13" s="840"/>
      <c r="BH13" s="840"/>
      <c r="BI13" s="840"/>
      <c r="BJ13" s="840"/>
      <c r="BK13" s="840"/>
      <c r="BL13" s="840"/>
      <c r="BM13" s="841"/>
      <c r="BN13" s="839" t="s">
        <v>28</v>
      </c>
      <c r="BO13" s="840"/>
      <c r="BP13" s="840"/>
      <c r="BQ13" s="840"/>
      <c r="BR13" s="840"/>
      <c r="BS13" s="840"/>
      <c r="BT13" s="840"/>
      <c r="BU13" s="840"/>
      <c r="BV13" s="840"/>
      <c r="BW13" s="841"/>
      <c r="CH13" t="e">
        <f>#REF!</f>
        <v>#REF!</v>
      </c>
    </row>
    <row r="14" spans="1:86" ht="16.5" customHeight="1">
      <c r="A14" s="460">
        <v>9</v>
      </c>
      <c r="B14" s="461" t="s">
        <v>95</v>
      </c>
      <c r="C14" s="965">
        <v>0</v>
      </c>
      <c r="D14" s="966"/>
      <c r="E14" s="966"/>
      <c r="F14" s="967"/>
      <c r="G14" s="470"/>
      <c r="H14" s="975" t="s">
        <v>96</v>
      </c>
      <c r="I14" s="976"/>
      <c r="J14" s="976"/>
      <c r="K14" s="976"/>
      <c r="L14" s="976"/>
      <c r="M14" s="976"/>
      <c r="N14" s="976"/>
      <c r="O14" s="976"/>
      <c r="P14" s="976"/>
      <c r="Q14" s="976"/>
      <c r="R14" s="977"/>
      <c r="S14" s="561"/>
      <c r="T14" s="562"/>
      <c r="U14" s="971" t="s">
        <v>97</v>
      </c>
      <c r="V14" s="971"/>
      <c r="W14" s="971"/>
      <c r="X14" s="971"/>
      <c r="Y14" s="971"/>
      <c r="Z14" s="971"/>
      <c r="AA14" s="972">
        <v>0</v>
      </c>
      <c r="AB14" s="973"/>
      <c r="AC14" s="974"/>
      <c r="AE14" s="138" t="s">
        <v>32</v>
      </c>
      <c r="AF14" s="590">
        <f>IF($C$12=4,$G$12,0)</f>
        <v>0</v>
      </c>
      <c r="AI14" s="93"/>
      <c r="AK14" s="628">
        <f>Y16</f>
        <v>0.5</v>
      </c>
      <c r="AN14" s="627"/>
      <c r="AO14" s="384">
        <v>8</v>
      </c>
      <c r="AP14" s="385">
        <v>22100</v>
      </c>
      <c r="AQ14" s="386">
        <v>24500</v>
      </c>
      <c r="AR14" s="386">
        <v>26800</v>
      </c>
      <c r="AS14" s="386">
        <v>31400</v>
      </c>
      <c r="AT14" s="387">
        <v>35900</v>
      </c>
      <c r="AU14" s="388">
        <v>43600</v>
      </c>
      <c r="AV14" s="389">
        <v>55200</v>
      </c>
      <c r="AW14" s="389">
        <v>58600</v>
      </c>
      <c r="AX14" s="411">
        <v>65200</v>
      </c>
      <c r="AY14" s="412">
        <v>69000</v>
      </c>
      <c r="AZ14" s="413">
        <v>83300</v>
      </c>
      <c r="BA14" s="641">
        <v>96900</v>
      </c>
      <c r="BD14" s="842"/>
      <c r="BE14" s="843"/>
      <c r="BF14" s="843"/>
      <c r="BG14" s="843"/>
      <c r="BH14" s="843"/>
      <c r="BI14" s="843"/>
      <c r="BJ14" s="843"/>
      <c r="BK14" s="843"/>
      <c r="BL14" s="843"/>
      <c r="BM14" s="844"/>
      <c r="BN14" s="842"/>
      <c r="BO14" s="843"/>
      <c r="BP14" s="843"/>
      <c r="BQ14" s="843"/>
      <c r="BR14" s="843"/>
      <c r="BS14" s="843"/>
      <c r="BT14" s="843"/>
      <c r="BU14" s="843"/>
      <c r="BV14" s="843"/>
      <c r="BW14" s="844"/>
      <c r="CH14" t="e">
        <f>#REF!</f>
        <v>#REF!</v>
      </c>
    </row>
    <row r="15" spans="1:86" ht="15" customHeight="1">
      <c r="A15" s="460">
        <v>10</v>
      </c>
      <c r="B15" s="461" t="s">
        <v>98</v>
      </c>
      <c r="C15" s="947">
        <v>6908</v>
      </c>
      <c r="D15" s="948"/>
      <c r="E15" s="948"/>
      <c r="F15" s="949"/>
      <c r="G15" s="470"/>
      <c r="H15" s="950" t="s">
        <v>89</v>
      </c>
      <c r="I15" s="951"/>
      <c r="J15" s="951"/>
      <c r="K15" s="951"/>
      <c r="L15" s="951"/>
      <c r="M15" s="951"/>
      <c r="N15" s="951"/>
      <c r="O15" s="951"/>
      <c r="P15" s="951"/>
      <c r="Q15" s="951"/>
      <c r="R15" s="563"/>
      <c r="S15" s="952" t="s">
        <v>99</v>
      </c>
      <c r="T15" s="953"/>
      <c r="U15" s="954"/>
      <c r="V15" s="954"/>
      <c r="W15" s="954"/>
      <c r="X15" s="955"/>
      <c r="Y15" s="956" t="s">
        <v>100</v>
      </c>
      <c r="Z15" s="954"/>
      <c r="AA15" s="954"/>
      <c r="AB15" s="955"/>
      <c r="AC15" s="591"/>
      <c r="AE15" s="138" t="s">
        <v>34</v>
      </c>
      <c r="AF15" s="590">
        <f>IF($C$12=5,$G$12,0)</f>
        <v>0</v>
      </c>
      <c r="AI15" s="93"/>
      <c r="AK15" s="628">
        <f t="shared" ref="AK15:AK26" si="0">Y17</f>
        <v>0.5</v>
      </c>
      <c r="AN15" s="629"/>
      <c r="AO15" s="384">
        <v>9</v>
      </c>
      <c r="AP15" s="385">
        <v>22800</v>
      </c>
      <c r="AQ15" s="386">
        <v>25200</v>
      </c>
      <c r="AR15" s="386">
        <v>27600</v>
      </c>
      <c r="AS15" s="386">
        <v>32300</v>
      </c>
      <c r="AT15" s="387">
        <v>37000</v>
      </c>
      <c r="AU15" s="388">
        <v>44900</v>
      </c>
      <c r="AV15" s="389">
        <v>56900</v>
      </c>
      <c r="AW15" s="389">
        <v>60400</v>
      </c>
      <c r="AX15" s="411">
        <v>67200</v>
      </c>
      <c r="AY15" s="412">
        <v>71100</v>
      </c>
      <c r="AZ15" s="413">
        <v>85800</v>
      </c>
      <c r="BA15" s="641">
        <v>99800</v>
      </c>
      <c r="BD15" s="637"/>
      <c r="BE15" s="637"/>
      <c r="BF15" s="637"/>
      <c r="BG15" s="637"/>
      <c r="BH15" s="637"/>
      <c r="BI15" s="637"/>
      <c r="BJ15" s="637"/>
      <c r="BK15" s="637"/>
      <c r="BL15" s="637"/>
      <c r="BM15" s="637"/>
      <c r="BN15" s="637"/>
      <c r="BO15" s="637"/>
      <c r="BP15" s="637"/>
      <c r="BQ15" s="637"/>
      <c r="BR15" s="637"/>
      <c r="BS15" s="637"/>
      <c r="BT15" s="637"/>
      <c r="BU15" s="637"/>
      <c r="BV15" s="637"/>
      <c r="BW15" s="637"/>
    </row>
    <row r="16" spans="1:86" ht="15">
      <c r="A16" s="460">
        <v>11</v>
      </c>
      <c r="B16" s="471" t="s">
        <v>101</v>
      </c>
      <c r="C16" s="957">
        <f>BC40</f>
        <v>2800</v>
      </c>
      <c r="D16" s="958"/>
      <c r="E16" s="958"/>
      <c r="F16" s="959"/>
      <c r="G16" s="472"/>
      <c r="H16" s="960">
        <f>IF(H15="Y",AL18,IF(H15="N",AL19))</f>
        <v>0</v>
      </c>
      <c r="I16" s="961"/>
      <c r="J16" s="961"/>
      <c r="K16" s="961"/>
      <c r="L16" s="961"/>
      <c r="M16" s="961"/>
      <c r="N16" s="961"/>
      <c r="O16" s="961"/>
      <c r="P16" s="961"/>
      <c r="Q16" s="961"/>
      <c r="R16" s="564"/>
      <c r="S16" s="565" t="s">
        <v>102</v>
      </c>
      <c r="T16" s="565"/>
      <c r="U16" s="566"/>
      <c r="V16" s="566"/>
      <c r="W16" s="566"/>
      <c r="X16" s="566">
        <v>24</v>
      </c>
      <c r="Y16" s="927">
        <v>0.5</v>
      </c>
      <c r="Z16" s="928"/>
      <c r="AA16" s="928"/>
      <c r="AB16" s="929"/>
      <c r="AC16" s="592"/>
      <c r="AE16" s="138" t="s">
        <v>36</v>
      </c>
      <c r="AF16" s="590">
        <f>IF($C$12=6,$G$12,0)</f>
        <v>0</v>
      </c>
      <c r="AI16" s="93"/>
      <c r="AK16" s="628">
        <f t="shared" si="0"/>
        <v>0.5</v>
      </c>
      <c r="AN16" s="629"/>
      <c r="AO16" s="384">
        <v>10</v>
      </c>
      <c r="AP16" s="385">
        <v>23500</v>
      </c>
      <c r="AQ16" s="386">
        <v>26000</v>
      </c>
      <c r="AR16" s="386">
        <v>28400</v>
      </c>
      <c r="AS16" s="386">
        <v>33300</v>
      </c>
      <c r="AT16" s="387">
        <v>38100</v>
      </c>
      <c r="AU16" s="388">
        <v>46200</v>
      </c>
      <c r="AV16" s="389">
        <v>58600</v>
      </c>
      <c r="AW16" s="389">
        <v>62200</v>
      </c>
      <c r="AX16" s="411">
        <v>69200</v>
      </c>
      <c r="AY16" s="412">
        <v>73200</v>
      </c>
      <c r="AZ16" s="413">
        <v>88400</v>
      </c>
      <c r="BA16" s="641">
        <v>102800</v>
      </c>
      <c r="BD16" s="793" t="s">
        <v>30</v>
      </c>
      <c r="BE16" s="794"/>
      <c r="BF16" s="794"/>
      <c r="BG16" s="794"/>
      <c r="BH16" s="794"/>
      <c r="BI16" s="794"/>
      <c r="BJ16" s="794"/>
      <c r="BK16" s="794"/>
      <c r="BL16" s="794"/>
      <c r="BM16" s="794"/>
      <c r="BN16" s="794"/>
      <c r="BO16" s="794"/>
      <c r="BP16" s="794"/>
      <c r="BQ16" s="794"/>
      <c r="BR16" s="794"/>
      <c r="BS16" s="794"/>
      <c r="BT16" s="794"/>
      <c r="BU16" s="794"/>
      <c r="BV16" s="794"/>
      <c r="BW16" s="795"/>
    </row>
    <row r="17" spans="1:75" ht="14.25" customHeight="1">
      <c r="A17" s="460">
        <v>12</v>
      </c>
      <c r="B17" s="471" t="s">
        <v>103</v>
      </c>
      <c r="C17" s="957">
        <f>BC41</f>
        <v>4200</v>
      </c>
      <c r="D17" s="958"/>
      <c r="E17" s="958"/>
      <c r="F17" s="959"/>
      <c r="G17" s="473"/>
      <c r="H17" s="962" t="s">
        <v>104</v>
      </c>
      <c r="I17" s="963"/>
      <c r="J17" s="963"/>
      <c r="K17" s="963"/>
      <c r="L17" s="963"/>
      <c r="M17" s="963"/>
      <c r="N17" s="963"/>
      <c r="O17" s="963"/>
      <c r="P17" s="963"/>
      <c r="Q17" s="963"/>
      <c r="R17" s="964"/>
      <c r="S17" s="565" t="s">
        <v>105</v>
      </c>
      <c r="T17" s="565"/>
      <c r="U17" s="566"/>
      <c r="V17" s="566"/>
      <c r="W17" s="566"/>
      <c r="X17" s="566">
        <f>SUM(X16)</f>
        <v>24</v>
      </c>
      <c r="Y17" s="927">
        <v>0.5</v>
      </c>
      <c r="Z17" s="928"/>
      <c r="AA17" s="928"/>
      <c r="AB17" s="929"/>
      <c r="AC17" s="591"/>
      <c r="AE17" s="138" t="s">
        <v>37</v>
      </c>
      <c r="AF17" s="590">
        <f>IF($C$12=7,$G$12,0)</f>
        <v>0</v>
      </c>
      <c r="AI17" s="93"/>
      <c r="AJ17" s="32"/>
      <c r="AK17" s="628">
        <f t="shared" si="0"/>
        <v>0.5</v>
      </c>
      <c r="AN17" s="629"/>
      <c r="AO17" s="384">
        <v>11</v>
      </c>
      <c r="AP17" s="385">
        <v>24200</v>
      </c>
      <c r="AQ17" s="386">
        <v>26800</v>
      </c>
      <c r="AR17" s="386">
        <v>29300</v>
      </c>
      <c r="AS17" s="386">
        <v>34300</v>
      </c>
      <c r="AT17" s="387">
        <v>39200</v>
      </c>
      <c r="AU17" s="388">
        <v>47600</v>
      </c>
      <c r="AV17" s="389">
        <v>60400</v>
      </c>
      <c r="AW17" s="389">
        <v>64100</v>
      </c>
      <c r="AX17" s="411">
        <v>71300</v>
      </c>
      <c r="AY17" s="412">
        <v>75400</v>
      </c>
      <c r="AZ17" s="413">
        <v>91100</v>
      </c>
      <c r="BA17" s="641">
        <v>105900</v>
      </c>
      <c r="BD17" s="796"/>
      <c r="BE17" s="797"/>
      <c r="BF17" s="797"/>
      <c r="BG17" s="797"/>
      <c r="BH17" s="797"/>
      <c r="BI17" s="797"/>
      <c r="BJ17" s="797"/>
      <c r="BK17" s="797"/>
      <c r="BL17" s="797"/>
      <c r="BM17" s="797"/>
      <c r="BN17" s="797"/>
      <c r="BO17" s="797"/>
      <c r="BP17" s="797"/>
      <c r="BQ17" s="797"/>
      <c r="BR17" s="797"/>
      <c r="BS17" s="797"/>
      <c r="BT17" s="797"/>
      <c r="BU17" s="797"/>
      <c r="BV17" s="797"/>
      <c r="BW17" s="798"/>
    </row>
    <row r="18" spans="1:75" ht="15.75" customHeight="1">
      <c r="A18" s="460">
        <v>14</v>
      </c>
      <c r="B18" s="462" t="s">
        <v>106</v>
      </c>
      <c r="C18" s="933">
        <v>0</v>
      </c>
      <c r="D18" s="934"/>
      <c r="E18" s="934"/>
      <c r="F18" s="935"/>
      <c r="G18" s="474"/>
      <c r="H18" s="936">
        <v>3550</v>
      </c>
      <c r="I18" s="937"/>
      <c r="J18" s="937"/>
      <c r="K18" s="937"/>
      <c r="L18" s="937"/>
      <c r="M18" s="937"/>
      <c r="N18" s="937"/>
      <c r="O18" s="937"/>
      <c r="P18" s="937"/>
      <c r="Q18" s="937"/>
      <c r="R18" s="938"/>
      <c r="S18" s="565" t="s">
        <v>107</v>
      </c>
      <c r="T18" s="565"/>
      <c r="U18" s="566"/>
      <c r="V18" s="566"/>
      <c r="W18" s="566"/>
      <c r="X18" s="566">
        <f t="shared" ref="X18:X24" si="1">SUM(X17)</f>
        <v>24</v>
      </c>
      <c r="Y18" s="927">
        <v>0.5</v>
      </c>
      <c r="Z18" s="928"/>
      <c r="AA18" s="928"/>
      <c r="AB18" s="929"/>
      <c r="AC18" s="591"/>
      <c r="AE18" s="138" t="s">
        <v>38</v>
      </c>
      <c r="AF18" s="590">
        <f>IF($C$12=8,$G$12,0)</f>
        <v>0</v>
      </c>
      <c r="AG18" s="115"/>
      <c r="AH18" s="115"/>
      <c r="AI18" s="630"/>
      <c r="AJ18" s="115"/>
      <c r="AK18" s="628">
        <f t="shared" si="0"/>
        <v>0.5</v>
      </c>
      <c r="AL18" s="631">
        <f>'Salary Details'!$J$27</f>
        <v>42600</v>
      </c>
      <c r="AN18" s="629"/>
      <c r="AO18" s="384">
        <v>12</v>
      </c>
      <c r="AP18" s="385">
        <v>24900</v>
      </c>
      <c r="AQ18" s="386">
        <v>27600</v>
      </c>
      <c r="AR18" s="386">
        <v>30200</v>
      </c>
      <c r="AS18" s="386">
        <v>35300</v>
      </c>
      <c r="AT18" s="387">
        <v>40400</v>
      </c>
      <c r="AU18" s="388">
        <v>49000</v>
      </c>
      <c r="AV18" s="389">
        <v>62200</v>
      </c>
      <c r="AW18" s="389">
        <v>66000</v>
      </c>
      <c r="AX18" s="411">
        <v>73400</v>
      </c>
      <c r="AY18" s="412">
        <v>77700</v>
      </c>
      <c r="AZ18" s="413">
        <v>93800</v>
      </c>
      <c r="BA18" s="641">
        <v>109100</v>
      </c>
      <c r="BD18" s="821" t="s">
        <v>108</v>
      </c>
      <c r="BE18" s="821"/>
      <c r="BF18" s="821"/>
      <c r="BG18" s="821"/>
      <c r="BH18" s="821"/>
      <c r="BI18" s="821"/>
      <c r="BJ18" s="821"/>
      <c r="BK18" s="821"/>
      <c r="BL18" s="821"/>
      <c r="BM18" s="821"/>
      <c r="BN18" s="821"/>
      <c r="BO18" s="821"/>
      <c r="BP18" s="821"/>
      <c r="BQ18" s="821"/>
      <c r="BR18" s="821"/>
      <c r="BS18" s="821"/>
      <c r="BT18" s="821"/>
      <c r="BU18" s="821"/>
      <c r="BV18" s="821"/>
      <c r="BW18" s="821"/>
    </row>
    <row r="19" spans="1:75" ht="15.75" customHeight="1">
      <c r="A19" s="460">
        <v>15</v>
      </c>
      <c r="B19" s="462" t="s">
        <v>109</v>
      </c>
      <c r="C19" s="939">
        <v>500000</v>
      </c>
      <c r="D19" s="940"/>
      <c r="E19" s="940"/>
      <c r="F19" s="941"/>
      <c r="G19" s="475" t="s">
        <v>110</v>
      </c>
      <c r="H19" s="476"/>
      <c r="I19" s="476"/>
      <c r="J19" s="476"/>
      <c r="K19" s="524"/>
      <c r="L19" s="525"/>
      <c r="M19" s="525"/>
      <c r="N19" s="525"/>
      <c r="O19" s="525"/>
      <c r="P19" s="526"/>
      <c r="Q19" s="567"/>
      <c r="R19" s="526"/>
      <c r="S19" s="565" t="s">
        <v>111</v>
      </c>
      <c r="T19" s="565"/>
      <c r="U19" s="566"/>
      <c r="V19" s="566"/>
      <c r="W19" s="566"/>
      <c r="X19" s="566">
        <f t="shared" si="1"/>
        <v>24</v>
      </c>
      <c r="Y19" s="927">
        <v>0.5</v>
      </c>
      <c r="Z19" s="928"/>
      <c r="AA19" s="928"/>
      <c r="AB19" s="929"/>
      <c r="AC19" s="591"/>
      <c r="AE19" s="138" t="s">
        <v>40</v>
      </c>
      <c r="AF19" s="590">
        <f>IF($C$12=9,$G$12,0)</f>
        <v>0</v>
      </c>
      <c r="AG19" s="139"/>
      <c r="AH19" s="40"/>
      <c r="AI19" s="38"/>
      <c r="AK19" s="628">
        <f t="shared" si="0"/>
        <v>0.5</v>
      </c>
      <c r="AL19">
        <v>0</v>
      </c>
      <c r="AN19" s="629"/>
      <c r="AO19" s="384">
        <v>13</v>
      </c>
      <c r="AP19" s="385">
        <v>25600</v>
      </c>
      <c r="AQ19" s="386">
        <v>28400</v>
      </c>
      <c r="AR19" s="386">
        <v>31100</v>
      </c>
      <c r="AS19" s="386">
        <v>36400</v>
      </c>
      <c r="AT19" s="387">
        <v>41600</v>
      </c>
      <c r="AU19" s="388">
        <v>50500</v>
      </c>
      <c r="AV19" s="389">
        <v>64100</v>
      </c>
      <c r="AW19" s="389">
        <v>68000</v>
      </c>
      <c r="AX19" s="411">
        <v>75600</v>
      </c>
      <c r="AY19" s="412">
        <v>80000</v>
      </c>
      <c r="AZ19" s="413">
        <v>96600</v>
      </c>
      <c r="BA19" s="414">
        <v>112400</v>
      </c>
      <c r="BD19" s="822"/>
      <c r="BE19" s="822"/>
      <c r="BF19" s="822"/>
      <c r="BG19" s="822"/>
      <c r="BH19" s="822"/>
      <c r="BI19" s="822"/>
      <c r="BJ19" s="822"/>
      <c r="BK19" s="822"/>
      <c r="BL19" s="822"/>
      <c r="BM19" s="822"/>
      <c r="BN19" s="822"/>
      <c r="BO19" s="822"/>
      <c r="BP19" s="822"/>
      <c r="BQ19" s="822"/>
      <c r="BR19" s="822"/>
      <c r="BS19" s="822"/>
      <c r="BT19" s="822"/>
      <c r="BU19" s="822"/>
      <c r="BV19" s="822"/>
      <c r="BW19" s="822"/>
    </row>
    <row r="20" spans="1:75" ht="15" customHeight="1">
      <c r="A20" s="460">
        <v>16</v>
      </c>
      <c r="B20" s="477" t="s">
        <v>112</v>
      </c>
      <c r="C20" s="942">
        <v>2000</v>
      </c>
      <c r="D20" s="943"/>
      <c r="E20" s="943"/>
      <c r="F20" s="944"/>
      <c r="G20" s="942">
        <v>3</v>
      </c>
      <c r="H20" s="945"/>
      <c r="I20" s="945"/>
      <c r="J20" s="945"/>
      <c r="K20" s="945"/>
      <c r="L20" s="945"/>
      <c r="M20" s="945"/>
      <c r="N20" s="945"/>
      <c r="O20" s="945"/>
      <c r="P20" s="946"/>
      <c r="Q20" s="568"/>
      <c r="R20" s="527"/>
      <c r="S20" s="565" t="s">
        <v>113</v>
      </c>
      <c r="T20" s="565"/>
      <c r="U20" s="566"/>
      <c r="V20" s="566"/>
      <c r="W20" s="566"/>
      <c r="X20" s="566">
        <f t="shared" si="1"/>
        <v>24</v>
      </c>
      <c r="Y20" s="927">
        <v>0.5</v>
      </c>
      <c r="Z20" s="928"/>
      <c r="AA20" s="928"/>
      <c r="AB20" s="929"/>
      <c r="AC20" s="591"/>
      <c r="AE20" s="138" t="s">
        <v>41</v>
      </c>
      <c r="AF20" s="590">
        <f>IF($C$12=10,$G$12,0)</f>
        <v>0</v>
      </c>
      <c r="AI20" s="93"/>
      <c r="AK20" s="628">
        <f t="shared" si="0"/>
        <v>0.5</v>
      </c>
      <c r="AN20" s="629"/>
      <c r="AO20" s="384">
        <v>14</v>
      </c>
      <c r="AP20" s="385">
        <v>26400</v>
      </c>
      <c r="AQ20" s="386">
        <v>29300</v>
      </c>
      <c r="AR20" s="386">
        <v>32000</v>
      </c>
      <c r="AS20" s="386">
        <v>37500</v>
      </c>
      <c r="AT20" s="387">
        <v>42800</v>
      </c>
      <c r="AU20" s="388">
        <v>52000</v>
      </c>
      <c r="AV20" s="389">
        <v>66000</v>
      </c>
      <c r="AW20" s="389">
        <v>70000</v>
      </c>
      <c r="AX20" s="411">
        <v>77900</v>
      </c>
      <c r="AY20" s="412">
        <v>82400</v>
      </c>
      <c r="AZ20" s="413">
        <v>99500</v>
      </c>
      <c r="BA20" s="414">
        <v>115800</v>
      </c>
      <c r="BD20" s="751" t="s">
        <v>35</v>
      </c>
      <c r="BE20" s="752"/>
      <c r="BF20" s="752"/>
      <c r="BG20" s="752"/>
      <c r="BH20" s="752"/>
      <c r="BI20" s="752"/>
      <c r="BJ20" s="752"/>
      <c r="BK20" s="752"/>
      <c r="BL20" s="752"/>
      <c r="BM20" s="752"/>
      <c r="BN20" s="752"/>
      <c r="BO20" s="752"/>
      <c r="BP20" s="752"/>
      <c r="BQ20" s="752"/>
      <c r="BR20" s="752"/>
      <c r="BS20" s="752"/>
      <c r="BT20" s="752"/>
      <c r="BU20" s="752"/>
      <c r="BV20" s="752"/>
      <c r="BW20" s="753"/>
    </row>
    <row r="21" spans="1:75" ht="15" customHeight="1">
      <c r="A21" s="460">
        <v>17</v>
      </c>
      <c r="B21" s="462" t="s">
        <v>114</v>
      </c>
      <c r="C21" s="897"/>
      <c r="D21" s="898"/>
      <c r="E21" s="898"/>
      <c r="F21" s="898"/>
      <c r="G21" s="898"/>
      <c r="H21" s="898"/>
      <c r="I21" s="898"/>
      <c r="J21" s="898"/>
      <c r="K21" s="898"/>
      <c r="L21" s="898"/>
      <c r="M21" s="898"/>
      <c r="N21" s="899"/>
      <c r="O21" s="527"/>
      <c r="P21" s="528" t="s">
        <v>115</v>
      </c>
      <c r="Q21" s="527"/>
      <c r="R21" s="527"/>
      <c r="S21" s="565" t="s">
        <v>116</v>
      </c>
      <c r="T21" s="565"/>
      <c r="U21" s="566"/>
      <c r="V21" s="566"/>
      <c r="W21" s="566"/>
      <c r="X21" s="566">
        <f t="shared" si="1"/>
        <v>24</v>
      </c>
      <c r="Y21" s="927">
        <v>0.5</v>
      </c>
      <c r="Z21" s="928"/>
      <c r="AA21" s="928"/>
      <c r="AB21" s="929"/>
      <c r="AC21" s="591"/>
      <c r="AE21" s="138" t="s">
        <v>43</v>
      </c>
      <c r="AF21" s="590">
        <f>IF($C$12=11,$G$12,0)</f>
        <v>0</v>
      </c>
      <c r="AG21" s="139"/>
      <c r="AH21" s="40"/>
      <c r="AI21" s="38"/>
      <c r="AK21" s="628">
        <f t="shared" si="0"/>
        <v>0.5</v>
      </c>
      <c r="AN21" s="629"/>
      <c r="AO21" s="384">
        <v>15</v>
      </c>
      <c r="AP21" s="390">
        <v>27200</v>
      </c>
      <c r="AQ21" s="386">
        <v>30200</v>
      </c>
      <c r="AR21" s="386">
        <v>33000</v>
      </c>
      <c r="AS21" s="386">
        <v>38600</v>
      </c>
      <c r="AT21" s="387">
        <v>44100</v>
      </c>
      <c r="AU21" s="388">
        <v>53600</v>
      </c>
      <c r="AV21" s="389">
        <v>68000</v>
      </c>
      <c r="AW21" s="389">
        <v>72100</v>
      </c>
      <c r="AX21" s="411">
        <v>80200</v>
      </c>
      <c r="AY21" s="412">
        <v>84900</v>
      </c>
      <c r="AZ21" s="413">
        <v>102500</v>
      </c>
      <c r="BA21" s="414">
        <v>119300</v>
      </c>
      <c r="BD21" s="754"/>
      <c r="BE21" s="755"/>
      <c r="BF21" s="755"/>
      <c r="BG21" s="755"/>
      <c r="BH21" s="755"/>
      <c r="BI21" s="755"/>
      <c r="BJ21" s="755"/>
      <c r="BK21" s="755"/>
      <c r="BL21" s="755"/>
      <c r="BM21" s="755"/>
      <c r="BN21" s="755"/>
      <c r="BO21" s="755"/>
      <c r="BP21" s="755"/>
      <c r="BQ21" s="755"/>
      <c r="BR21" s="755"/>
      <c r="BS21" s="755"/>
      <c r="BT21" s="755"/>
      <c r="BU21" s="755"/>
      <c r="BV21" s="755"/>
      <c r="BW21" s="756"/>
    </row>
    <row r="22" spans="1:75" ht="15">
      <c r="A22" s="460">
        <v>18</v>
      </c>
      <c r="B22" s="478" t="s">
        <v>117</v>
      </c>
      <c r="C22" s="924"/>
      <c r="D22" s="925"/>
      <c r="E22" s="925"/>
      <c r="F22" s="925"/>
      <c r="G22" s="925"/>
      <c r="H22" s="925"/>
      <c r="I22" s="925"/>
      <c r="J22" s="926"/>
      <c r="K22" s="529"/>
      <c r="L22" s="529"/>
      <c r="M22" s="527"/>
      <c r="N22" s="527"/>
      <c r="O22" s="527"/>
      <c r="P22" s="527"/>
      <c r="Q22" s="527"/>
      <c r="R22" s="527"/>
      <c r="S22" s="565" t="s">
        <v>118</v>
      </c>
      <c r="T22" s="565"/>
      <c r="U22" s="566"/>
      <c r="V22" s="566"/>
      <c r="W22" s="566"/>
      <c r="X22" s="566">
        <f t="shared" si="1"/>
        <v>24</v>
      </c>
      <c r="Y22" s="927">
        <v>0.5</v>
      </c>
      <c r="Z22" s="928"/>
      <c r="AA22" s="928"/>
      <c r="AB22" s="929"/>
      <c r="AC22" s="591"/>
      <c r="AE22" s="138" t="s">
        <v>44</v>
      </c>
      <c r="AF22" s="590">
        <f>IF($C$12=12,$G$12,0)</f>
        <v>0</v>
      </c>
      <c r="AI22" s="93"/>
      <c r="AK22" s="628">
        <f t="shared" si="0"/>
        <v>0.53</v>
      </c>
      <c r="AN22" s="629"/>
      <c r="AO22" s="384">
        <v>16</v>
      </c>
      <c r="AP22" s="390">
        <v>28000</v>
      </c>
      <c r="AQ22" s="386">
        <v>31100</v>
      </c>
      <c r="AR22" s="386">
        <v>34000</v>
      </c>
      <c r="AS22" s="386">
        <v>39800</v>
      </c>
      <c r="AT22" s="387">
        <v>45400</v>
      </c>
      <c r="AU22" s="388">
        <v>55200</v>
      </c>
      <c r="AV22" s="389">
        <v>70000</v>
      </c>
      <c r="AW22" s="389">
        <v>74300</v>
      </c>
      <c r="AX22" s="411">
        <v>82600</v>
      </c>
      <c r="AY22" s="412">
        <v>87400</v>
      </c>
      <c r="AZ22" s="413">
        <v>105600</v>
      </c>
      <c r="BA22" s="414">
        <v>122900</v>
      </c>
      <c r="BD22" s="637"/>
      <c r="BE22" s="637"/>
      <c r="BF22" s="637"/>
      <c r="BG22" s="637"/>
      <c r="BH22" s="637"/>
      <c r="BI22" s="637"/>
      <c r="BJ22" s="637"/>
      <c r="BK22" s="637"/>
      <c r="BL22" s="637"/>
      <c r="BM22" s="637"/>
      <c r="BN22" s="637"/>
      <c r="BO22" s="637"/>
      <c r="BP22" s="637"/>
      <c r="BQ22" s="637"/>
      <c r="BR22" s="637"/>
      <c r="BS22" s="637"/>
      <c r="BT22" s="637"/>
      <c r="BU22" s="637"/>
      <c r="BV22" s="637"/>
      <c r="BW22" s="637"/>
    </row>
    <row r="23" spans="1:75" ht="15" customHeight="1">
      <c r="A23" s="460">
        <v>19</v>
      </c>
      <c r="B23" s="461" t="s">
        <v>119</v>
      </c>
      <c r="C23" s="897" t="s">
        <v>120</v>
      </c>
      <c r="D23" s="898"/>
      <c r="E23" s="898"/>
      <c r="F23" s="898"/>
      <c r="G23" s="898"/>
      <c r="H23" s="898"/>
      <c r="I23" s="898"/>
      <c r="J23" s="899"/>
      <c r="K23" s="527"/>
      <c r="L23" s="527"/>
      <c r="M23" s="527"/>
      <c r="N23" s="527"/>
      <c r="O23" s="527"/>
      <c r="P23" s="527"/>
      <c r="Q23" s="527"/>
      <c r="R23" s="527"/>
      <c r="S23" s="565" t="s">
        <v>121</v>
      </c>
      <c r="T23" s="565"/>
      <c r="U23" s="566"/>
      <c r="V23" s="566"/>
      <c r="W23" s="566"/>
      <c r="X23" s="566">
        <f t="shared" si="1"/>
        <v>24</v>
      </c>
      <c r="Y23" s="927">
        <v>0.5</v>
      </c>
      <c r="Z23" s="928"/>
      <c r="AA23" s="928"/>
      <c r="AB23" s="929"/>
      <c r="AC23" s="591"/>
      <c r="AE23" s="138" t="s">
        <v>45</v>
      </c>
      <c r="AF23" s="590">
        <f>IF($C$12=1,$G$12,0)</f>
        <v>1100</v>
      </c>
      <c r="AI23" s="93"/>
      <c r="AK23" s="628">
        <f t="shared" si="0"/>
        <v>0.53</v>
      </c>
      <c r="AN23" s="625"/>
      <c r="AO23" s="391">
        <v>17</v>
      </c>
      <c r="AP23" s="390">
        <v>28800</v>
      </c>
      <c r="AQ23" s="386">
        <v>32000</v>
      </c>
      <c r="AR23" s="386">
        <v>35000</v>
      </c>
      <c r="AS23" s="386">
        <v>41000</v>
      </c>
      <c r="AT23" s="387">
        <v>46800</v>
      </c>
      <c r="AU23" s="388">
        <v>56900</v>
      </c>
      <c r="AV23" s="389">
        <v>72100</v>
      </c>
      <c r="AW23" s="389">
        <v>76500</v>
      </c>
      <c r="AX23" s="411">
        <v>85100</v>
      </c>
      <c r="AY23" s="412">
        <v>90000</v>
      </c>
      <c r="AZ23" s="413">
        <v>108800</v>
      </c>
      <c r="BA23" s="415">
        <v>126600</v>
      </c>
      <c r="BD23" s="745" t="s">
        <v>39</v>
      </c>
      <c r="BE23" s="746"/>
      <c r="BF23" s="746"/>
      <c r="BG23" s="746"/>
      <c r="BH23" s="746"/>
      <c r="BI23" s="746"/>
      <c r="BJ23" s="746"/>
      <c r="BK23" s="746"/>
      <c r="BL23" s="746"/>
      <c r="BM23" s="746"/>
      <c r="BN23" s="746"/>
      <c r="BO23" s="746"/>
      <c r="BP23" s="746"/>
      <c r="BQ23" s="746"/>
      <c r="BR23" s="746"/>
      <c r="BS23" s="746"/>
      <c r="BT23" s="746"/>
      <c r="BU23" s="746"/>
      <c r="BV23" s="746"/>
      <c r="BW23" s="747"/>
    </row>
    <row r="24" spans="1:75" ht="16.5" customHeight="1">
      <c r="A24" s="460">
        <v>20</v>
      </c>
      <c r="B24" s="479" t="s">
        <v>122</v>
      </c>
      <c r="C24" s="464"/>
      <c r="D24" s="465"/>
      <c r="E24" s="464"/>
      <c r="F24" s="464"/>
      <c r="G24" s="464"/>
      <c r="H24" s="464"/>
      <c r="I24" s="530"/>
      <c r="J24" s="464"/>
      <c r="K24" s="464"/>
      <c r="L24" s="530"/>
      <c r="M24" s="527"/>
      <c r="N24" s="527"/>
      <c r="O24" s="527"/>
      <c r="P24" s="527"/>
      <c r="Q24" s="527"/>
      <c r="R24" s="527"/>
      <c r="S24" s="565" t="s">
        <v>123</v>
      </c>
      <c r="T24" s="565"/>
      <c r="U24" s="566"/>
      <c r="V24" s="566"/>
      <c r="W24" s="566"/>
      <c r="X24" s="566">
        <f t="shared" si="1"/>
        <v>24</v>
      </c>
      <c r="Y24" s="927">
        <v>0.53</v>
      </c>
      <c r="Z24" s="928"/>
      <c r="AA24" s="928"/>
      <c r="AB24" s="929"/>
      <c r="AC24" s="591"/>
      <c r="AE24" s="138" t="s">
        <v>46</v>
      </c>
      <c r="AF24" s="590">
        <f>IF($C$12=2,$G$12,0)</f>
        <v>0</v>
      </c>
      <c r="AI24" s="93"/>
      <c r="AK24" s="628">
        <f t="shared" si="0"/>
        <v>0.53</v>
      </c>
      <c r="AN24" s="632"/>
      <c r="AO24" s="392">
        <v>18</v>
      </c>
      <c r="AP24" s="393">
        <v>29700</v>
      </c>
      <c r="AQ24" s="394">
        <v>33000</v>
      </c>
      <c r="AR24" s="394">
        <v>36100</v>
      </c>
      <c r="AS24" s="394">
        <v>42200</v>
      </c>
      <c r="AT24" s="395">
        <v>48200</v>
      </c>
      <c r="AU24" s="396">
        <v>58600</v>
      </c>
      <c r="AV24" s="397">
        <v>74300</v>
      </c>
      <c r="AW24" s="397">
        <v>78800</v>
      </c>
      <c r="AX24" s="416">
        <v>87700</v>
      </c>
      <c r="AY24" s="417">
        <v>92700</v>
      </c>
      <c r="AZ24" s="418">
        <v>112100</v>
      </c>
      <c r="BA24" s="419">
        <v>130400</v>
      </c>
      <c r="BD24" s="748"/>
      <c r="BE24" s="749"/>
      <c r="BF24" s="749"/>
      <c r="BG24" s="749"/>
      <c r="BH24" s="749"/>
      <c r="BI24" s="749"/>
      <c r="BJ24" s="749"/>
      <c r="BK24" s="749"/>
      <c r="BL24" s="749"/>
      <c r="BM24" s="749"/>
      <c r="BN24" s="749"/>
      <c r="BO24" s="749"/>
      <c r="BP24" s="749"/>
      <c r="BQ24" s="749"/>
      <c r="BR24" s="749"/>
      <c r="BS24" s="749"/>
      <c r="BT24" s="749"/>
      <c r="BU24" s="749"/>
      <c r="BV24" s="749"/>
      <c r="BW24" s="750"/>
    </row>
    <row r="25" spans="1:75" ht="15">
      <c r="A25" s="460">
        <v>21</v>
      </c>
      <c r="B25" s="480" t="s">
        <v>124</v>
      </c>
      <c r="C25" s="481">
        <v>2</v>
      </c>
      <c r="D25" s="481">
        <v>0</v>
      </c>
      <c r="E25" s="481">
        <v>2</v>
      </c>
      <c r="F25" s="481">
        <v>5</v>
      </c>
      <c r="G25" s="481">
        <v>2</v>
      </c>
      <c r="H25" s="481">
        <v>0</v>
      </c>
      <c r="I25" s="481">
        <v>2</v>
      </c>
      <c r="J25" s="481">
        <v>6</v>
      </c>
      <c r="K25" s="527"/>
      <c r="L25" s="527"/>
      <c r="M25" s="527"/>
      <c r="N25" s="527"/>
      <c r="O25" s="527"/>
      <c r="P25" s="527"/>
      <c r="Q25" s="527"/>
      <c r="R25" s="527"/>
      <c r="S25" s="565" t="s">
        <v>125</v>
      </c>
      <c r="T25" s="565"/>
      <c r="U25" s="566"/>
      <c r="V25" s="566"/>
      <c r="W25" s="566"/>
      <c r="X25" s="566">
        <f>X24+1</f>
        <v>25</v>
      </c>
      <c r="Y25" s="927">
        <v>0.53</v>
      </c>
      <c r="Z25" s="928"/>
      <c r="AA25" s="928"/>
      <c r="AB25" s="929"/>
      <c r="AC25" s="591"/>
      <c r="AE25" s="138" t="s">
        <v>47</v>
      </c>
      <c r="AF25" s="590">
        <f>IF($C$12=3,$G$12,0)</f>
        <v>0</v>
      </c>
      <c r="AG25" s="139"/>
      <c r="AH25" s="40"/>
      <c r="AI25" s="38"/>
      <c r="AJ25" s="633"/>
      <c r="AK25" s="628">
        <f t="shared" si="0"/>
        <v>0.53</v>
      </c>
      <c r="AO25" t="s">
        <v>48</v>
      </c>
      <c r="BD25" s="812" t="s">
        <v>42</v>
      </c>
      <c r="BE25" s="812"/>
      <c r="BF25" s="812"/>
      <c r="BG25" s="812"/>
      <c r="BH25" s="812"/>
      <c r="BI25" s="812"/>
      <c r="BJ25" s="812"/>
      <c r="BK25" s="812"/>
      <c r="BL25" s="812"/>
      <c r="BM25" s="812"/>
      <c r="BN25" s="812"/>
      <c r="BO25" s="812"/>
      <c r="BP25" s="812"/>
      <c r="BQ25" s="812"/>
      <c r="BR25" s="812"/>
      <c r="BS25" s="812"/>
      <c r="BT25" s="812"/>
      <c r="BU25" s="812"/>
      <c r="BV25" s="812"/>
      <c r="BW25" s="812"/>
    </row>
    <row r="26" spans="1:75" ht="16.5" customHeight="1">
      <c r="A26" s="460">
        <v>22</v>
      </c>
      <c r="B26" s="467" t="s">
        <v>126</v>
      </c>
      <c r="C26" s="930" t="s">
        <v>127</v>
      </c>
      <c r="D26" s="931"/>
      <c r="E26" s="931"/>
      <c r="F26" s="931"/>
      <c r="G26" s="931"/>
      <c r="H26" s="932"/>
      <c r="I26" s="514"/>
      <c r="J26" s="514"/>
      <c r="K26" s="531"/>
      <c r="L26" s="531"/>
      <c r="M26" s="527"/>
      <c r="N26" s="527"/>
      <c r="O26" s="527"/>
      <c r="P26" s="527"/>
      <c r="Q26" s="527"/>
      <c r="R26" s="527"/>
      <c r="S26" s="565" t="s">
        <v>128</v>
      </c>
      <c r="T26" s="565"/>
      <c r="U26" s="566"/>
      <c r="V26" s="566"/>
      <c r="W26" s="566"/>
      <c r="X26" s="566">
        <f>X25</f>
        <v>25</v>
      </c>
      <c r="Y26" s="927">
        <v>0.53</v>
      </c>
      <c r="Z26" s="928"/>
      <c r="AA26" s="928"/>
      <c r="AB26" s="929"/>
      <c r="AC26" s="591"/>
      <c r="AE26" s="41"/>
      <c r="AK26" s="628">
        <f t="shared" si="0"/>
        <v>0</v>
      </c>
      <c r="AO26" t="s">
        <v>49</v>
      </c>
      <c r="AR26" s="636"/>
      <c r="BD26" s="813"/>
      <c r="BE26" s="813"/>
      <c r="BF26" s="813"/>
      <c r="BG26" s="813"/>
      <c r="BH26" s="813"/>
      <c r="BI26" s="813"/>
      <c r="BJ26" s="813"/>
      <c r="BK26" s="813"/>
      <c r="BL26" s="813"/>
      <c r="BM26" s="813"/>
      <c r="BN26" s="813"/>
      <c r="BO26" s="813"/>
      <c r="BP26" s="813"/>
      <c r="BQ26" s="813"/>
      <c r="BR26" s="813"/>
      <c r="BS26" s="813"/>
      <c r="BT26" s="813"/>
      <c r="BU26" s="813"/>
      <c r="BV26" s="813"/>
      <c r="BW26" s="813"/>
    </row>
    <row r="27" spans="1:75" ht="15.75" customHeight="1">
      <c r="A27" s="482">
        <v>23</v>
      </c>
      <c r="B27" s="483" t="s">
        <v>129</v>
      </c>
      <c r="C27" s="907" t="s">
        <v>130</v>
      </c>
      <c r="D27" s="908"/>
      <c r="E27" s="908"/>
      <c r="F27" s="908"/>
      <c r="G27" s="909"/>
      <c r="H27" s="907" t="s">
        <v>131</v>
      </c>
      <c r="I27" s="908"/>
      <c r="J27" s="908"/>
      <c r="K27" s="908"/>
      <c r="L27" s="909"/>
      <c r="M27" s="532"/>
      <c r="N27" s="527"/>
      <c r="O27" s="527"/>
      <c r="P27" s="527"/>
      <c r="Q27" s="527"/>
      <c r="R27" s="527"/>
      <c r="S27" s="569" t="s">
        <v>132</v>
      </c>
      <c r="T27" s="569"/>
      <c r="U27" s="570"/>
      <c r="V27" s="570"/>
      <c r="W27" s="570"/>
      <c r="X27" s="570">
        <f>X26</f>
        <v>25</v>
      </c>
      <c r="Y27" s="910">
        <v>0.53</v>
      </c>
      <c r="Z27" s="911"/>
      <c r="AA27" s="911"/>
      <c r="AB27" s="912"/>
      <c r="AC27" s="591"/>
      <c r="AD27" s="593"/>
      <c r="AE27" t="s">
        <v>50</v>
      </c>
      <c r="AF27" s="41"/>
      <c r="AG27" s="41"/>
      <c r="AH27" s="41"/>
      <c r="AI27" s="39"/>
    </row>
    <row r="28" spans="1:75" ht="16.5" customHeight="1">
      <c r="A28" s="458"/>
      <c r="B28" s="484"/>
      <c r="C28" s="913" t="s">
        <v>133</v>
      </c>
      <c r="D28" s="914"/>
      <c r="E28" s="914"/>
      <c r="F28" s="914"/>
      <c r="G28" s="915"/>
      <c r="H28" s="916" t="s">
        <v>134</v>
      </c>
      <c r="I28" s="914"/>
      <c r="J28" s="914"/>
      <c r="K28" s="914"/>
      <c r="L28" s="915"/>
      <c r="M28" s="917" t="s">
        <v>135</v>
      </c>
      <c r="N28" s="917"/>
      <c r="O28" s="917"/>
      <c r="P28" s="917"/>
      <c r="Q28" s="917"/>
      <c r="R28" s="917"/>
      <c r="S28" s="917"/>
      <c r="T28" s="917"/>
      <c r="U28" s="917"/>
      <c r="V28" s="917"/>
      <c r="W28" s="917"/>
      <c r="X28" s="918">
        <v>0</v>
      </c>
      <c r="Y28" s="918"/>
      <c r="Z28" s="918"/>
      <c r="AA28" s="918"/>
      <c r="AB28" s="918"/>
      <c r="AC28" s="918"/>
      <c r="AD28" s="93"/>
      <c r="AE28" s="39" t="s">
        <v>47</v>
      </c>
      <c r="AF28" s="590">
        <f>IF($G$20=3,$C$20,0)</f>
        <v>2000</v>
      </c>
      <c r="AH28" s="628"/>
      <c r="AI28" s="93"/>
      <c r="BC28" s="854" t="s">
        <v>136</v>
      </c>
      <c r="BD28" s="855"/>
      <c r="BE28" s="855"/>
      <c r="BF28" s="855"/>
      <c r="BG28" s="855"/>
      <c r="BH28" s="855"/>
      <c r="BI28" s="855"/>
      <c r="BJ28" s="855"/>
      <c r="BK28" s="855"/>
      <c r="BL28" s="855"/>
      <c r="BM28" s="855"/>
      <c r="BN28" s="855"/>
      <c r="BO28" s="855"/>
      <c r="BP28" s="855"/>
      <c r="BQ28" s="855"/>
      <c r="BR28" s="855"/>
      <c r="BS28" s="855"/>
      <c r="BT28" s="855"/>
      <c r="BU28" s="855"/>
      <c r="BV28" s="855"/>
      <c r="BW28" s="856"/>
    </row>
    <row r="29" spans="1:75" ht="21" customHeight="1">
      <c r="A29" s="485">
        <v>24</v>
      </c>
      <c r="B29" s="478" t="s">
        <v>137</v>
      </c>
      <c r="C29" s="829"/>
      <c r="D29" s="830"/>
      <c r="E29" s="830"/>
      <c r="F29" s="830"/>
      <c r="G29" s="830"/>
      <c r="H29" s="830"/>
      <c r="I29" s="830"/>
      <c r="J29" s="830"/>
      <c r="K29" s="830"/>
      <c r="L29" s="831"/>
      <c r="M29" s="529"/>
      <c r="N29" s="529"/>
      <c r="O29" s="529"/>
      <c r="P29" s="529"/>
      <c r="Q29" s="529"/>
      <c r="R29" s="529"/>
      <c r="S29" s="529"/>
      <c r="T29" s="529"/>
      <c r="U29" s="529"/>
      <c r="V29" s="529"/>
      <c r="W29" s="507"/>
      <c r="X29" s="531"/>
      <c r="Y29" s="531"/>
      <c r="Z29" s="531"/>
      <c r="AA29" s="531"/>
      <c r="AB29" s="531"/>
      <c r="AC29" s="594"/>
      <c r="AD29" s="593"/>
      <c r="AE29" s="39" t="s">
        <v>32</v>
      </c>
      <c r="AF29" s="590">
        <f>IF($G$20=4,$C$20,0)</f>
        <v>0</v>
      </c>
      <c r="AH29" s="628"/>
      <c r="AI29" s="93"/>
      <c r="BC29" s="857"/>
      <c r="BD29" s="858"/>
      <c r="BE29" s="858"/>
      <c r="BF29" s="858"/>
      <c r="BG29" s="858"/>
      <c r="BH29" s="858"/>
      <c r="BI29" s="858"/>
      <c r="BJ29" s="858"/>
      <c r="BK29" s="858"/>
      <c r="BL29" s="858"/>
      <c r="BM29" s="858"/>
      <c r="BN29" s="858"/>
      <c r="BO29" s="858"/>
      <c r="BP29" s="858"/>
      <c r="BQ29" s="858"/>
      <c r="BR29" s="858"/>
      <c r="BS29" s="858"/>
      <c r="BT29" s="858"/>
      <c r="BU29" s="858"/>
      <c r="BV29" s="858"/>
      <c r="BW29" s="859"/>
    </row>
    <row r="30" spans="1:75" ht="18" customHeight="1">
      <c r="A30" s="486"/>
      <c r="B30" s="478" t="s">
        <v>138</v>
      </c>
      <c r="C30" s="832"/>
      <c r="D30" s="833"/>
      <c r="E30" s="833"/>
      <c r="F30" s="833"/>
      <c r="G30" s="833"/>
      <c r="H30" s="833"/>
      <c r="I30" s="833"/>
      <c r="J30" s="833"/>
      <c r="K30" s="833"/>
      <c r="L30" s="834"/>
      <c r="M30" s="919" t="s">
        <v>139</v>
      </c>
      <c r="N30" s="920"/>
      <c r="O30" s="920"/>
      <c r="P30" s="920"/>
      <c r="Q30" s="920"/>
      <c r="R30" s="920"/>
      <c r="S30" s="920"/>
      <c r="T30" s="920"/>
      <c r="U30" s="920"/>
      <c r="V30" s="920"/>
      <c r="W30" s="920"/>
      <c r="X30" s="920"/>
      <c r="Y30" s="921" t="s">
        <v>140</v>
      </c>
      <c r="Z30" s="922"/>
      <c r="AA30" s="922"/>
      <c r="AB30" s="922"/>
      <c r="AC30" s="923"/>
      <c r="AE30" s="138" t="s">
        <v>34</v>
      </c>
      <c r="AF30" s="590">
        <f>IF($G$20=5,$C$20,0)</f>
        <v>0</v>
      </c>
      <c r="AH30" s="628"/>
      <c r="AI30" s="93"/>
      <c r="BC30" s="860" t="str">
        <f>'Details of Deductions'!D32</f>
        <v>NEW REGIME</v>
      </c>
      <c r="BD30" s="861"/>
      <c r="BE30" s="861"/>
      <c r="BF30" s="861"/>
      <c r="BG30" s="861"/>
      <c r="BH30" s="861"/>
      <c r="BI30" s="861"/>
      <c r="BJ30" s="861"/>
      <c r="BK30" s="861"/>
      <c r="BL30" s="861"/>
      <c r="BM30" s="861"/>
      <c r="BN30" s="861"/>
      <c r="BO30" s="861"/>
      <c r="BP30" s="861"/>
      <c r="BQ30" s="861"/>
      <c r="BR30" s="861"/>
      <c r="BS30" s="861"/>
      <c r="BT30" s="861"/>
      <c r="BU30" s="861"/>
      <c r="BV30" s="861"/>
      <c r="BW30" s="862"/>
    </row>
    <row r="31" spans="1:75" ht="15.75" customHeight="1">
      <c r="A31" s="487"/>
      <c r="B31" s="462" t="s">
        <v>141</v>
      </c>
      <c r="C31" s="835"/>
      <c r="D31" s="836"/>
      <c r="E31" s="836"/>
      <c r="F31" s="836"/>
      <c r="G31" s="836"/>
      <c r="H31" s="836"/>
      <c r="I31" s="836"/>
      <c r="J31" s="836"/>
      <c r="K31" s="836"/>
      <c r="L31" s="837"/>
      <c r="M31" s="533" t="s">
        <v>142</v>
      </c>
      <c r="N31" s="534"/>
      <c r="O31" s="534"/>
      <c r="P31" s="534"/>
      <c r="Q31" s="534"/>
      <c r="R31" s="534"/>
      <c r="S31" s="571"/>
      <c r="T31" s="894" t="str">
        <f>IF(Y30="DDO",AE39,IF(Y30="Principal",AE39,IF(Y30="Ceo",AE49,IF(Y30="SECRETARY EDUCATION BOARD",AI47,IF(Y30="Beo",AI103,IF(Y30="DIRECTOR SECONDARY",AI49,IF(Y30="Deo Elementary",AE103,IF(Y30="dyeo",AE43,IF(Y30="District Minorty Welfare",AE51,IF(Y30="Scert",AE46,IF(Y30="Treasury",AE95)))))))))))</f>
        <v>Director</v>
      </c>
      <c r="U31" s="895"/>
      <c r="V31" s="895"/>
      <c r="W31" s="895"/>
      <c r="X31" s="895"/>
      <c r="Y31" s="895"/>
      <c r="Z31" s="895"/>
      <c r="AA31" s="895"/>
      <c r="AB31" s="895"/>
      <c r="AC31" s="896"/>
      <c r="AD31" s="595"/>
      <c r="AE31" s="138" t="s">
        <v>36</v>
      </c>
      <c r="AF31" s="590">
        <f>IF($G$20=6,$C$20,0)</f>
        <v>0</v>
      </c>
      <c r="AH31" s="628"/>
      <c r="AI31" s="93"/>
      <c r="AK31">
        <f>AA13</f>
        <v>0</v>
      </c>
      <c r="AS31">
        <f>X28</f>
        <v>0</v>
      </c>
      <c r="BC31" s="863"/>
      <c r="BD31" s="864"/>
      <c r="BE31" s="864"/>
      <c r="BF31" s="864"/>
      <c r="BG31" s="864"/>
      <c r="BH31" s="864"/>
      <c r="BI31" s="864"/>
      <c r="BJ31" s="864"/>
      <c r="BK31" s="864"/>
      <c r="BL31" s="864"/>
      <c r="BM31" s="864"/>
      <c r="BN31" s="864"/>
      <c r="BO31" s="864"/>
      <c r="BP31" s="864"/>
      <c r="BQ31" s="864"/>
      <c r="BR31" s="864"/>
      <c r="BS31" s="864"/>
      <c r="BT31" s="864"/>
      <c r="BU31" s="864"/>
      <c r="BV31" s="864"/>
      <c r="BW31" s="865"/>
    </row>
    <row r="32" spans="1:75" ht="16.5" customHeight="1">
      <c r="A32" s="488">
        <v>25</v>
      </c>
      <c r="B32" s="462" t="s">
        <v>143</v>
      </c>
      <c r="C32" s="897"/>
      <c r="D32" s="898"/>
      <c r="E32" s="898"/>
      <c r="F32" s="898"/>
      <c r="G32" s="898"/>
      <c r="H32" s="898"/>
      <c r="I32" s="898"/>
      <c r="J32" s="898"/>
      <c r="K32" s="898"/>
      <c r="L32" s="899"/>
      <c r="M32" s="535" t="s">
        <v>144</v>
      </c>
      <c r="N32" s="536"/>
      <c r="O32" s="536"/>
      <c r="P32" s="536"/>
      <c r="Q32" s="536"/>
      <c r="R32" s="536"/>
      <c r="S32" s="572"/>
      <c r="T32" s="894" t="str">
        <f>IF(Y30="DDO",AE40,IF(Y30="Principal",AE40,IF(Y30="Ceo",AE101,IF(Y30="SECRETARY EDUCATION BOARD",AI48,IF(Y30="Beo",AI104,IF(Y30="DIRECTOR SECONDARY",AI101,IF(Y30="Deo Elementary",AE104,IF(Y30="dyeo",AE44,IF(Y30="Distric Minorty Welfare",AE108,IF(Y30="Scert",AE47,IF(Y30="Treasury",AE96)))))))))))</f>
        <v>Department of Education</v>
      </c>
      <c r="U32" s="895"/>
      <c r="V32" s="895"/>
      <c r="W32" s="895"/>
      <c r="X32" s="895"/>
      <c r="Y32" s="895"/>
      <c r="Z32" s="895"/>
      <c r="AA32" s="895"/>
      <c r="AB32" s="895"/>
      <c r="AC32" s="896"/>
      <c r="AD32" s="595"/>
      <c r="AE32" s="138" t="s">
        <v>37</v>
      </c>
      <c r="AF32" s="590">
        <f>IF($G$20=7,$C$20,0)</f>
        <v>0</v>
      </c>
      <c r="AH32" s="628"/>
      <c r="AI32" s="93"/>
      <c r="BC32" s="823" t="s">
        <v>145</v>
      </c>
      <c r="BD32" s="824"/>
      <c r="BE32" s="824"/>
      <c r="BF32" s="824"/>
      <c r="BG32" s="824"/>
      <c r="BH32" s="823" t="s">
        <v>146</v>
      </c>
      <c r="BI32" s="824"/>
      <c r="BJ32" s="824"/>
      <c r="BK32" s="824"/>
      <c r="BL32" s="824"/>
      <c r="BM32" s="824"/>
      <c r="BN32" s="824"/>
      <c r="BO32" s="824"/>
      <c r="BP32" s="824"/>
      <c r="BQ32" s="824"/>
      <c r="BR32" s="824"/>
      <c r="BS32" s="824"/>
      <c r="BT32" s="824"/>
      <c r="BU32" s="824"/>
      <c r="BV32" s="824"/>
      <c r="BW32" s="825"/>
    </row>
    <row r="33" spans="1:89" ht="15.75" customHeight="1">
      <c r="A33" s="487">
        <v>26</v>
      </c>
      <c r="B33" s="461" t="s">
        <v>71</v>
      </c>
      <c r="C33" s="897"/>
      <c r="D33" s="898"/>
      <c r="E33" s="898"/>
      <c r="F33" s="898"/>
      <c r="G33" s="898"/>
      <c r="H33" s="898"/>
      <c r="I33" s="898"/>
      <c r="J33" s="898"/>
      <c r="K33" s="898"/>
      <c r="L33" s="899"/>
      <c r="M33" s="537"/>
      <c r="N33" s="538"/>
      <c r="O33" s="538"/>
      <c r="P33" s="538"/>
      <c r="Q33" s="538"/>
      <c r="R33" s="538"/>
      <c r="S33" s="573"/>
      <c r="T33" s="894" t="str">
        <f>AE41</f>
        <v>Uttarakhand</v>
      </c>
      <c r="U33" s="895"/>
      <c r="V33" s="895"/>
      <c r="W33" s="895"/>
      <c r="X33" s="895"/>
      <c r="Y33" s="895"/>
      <c r="Z33" s="895"/>
      <c r="AA33" s="895"/>
      <c r="AB33" s="895"/>
      <c r="AC33" s="896"/>
      <c r="AD33" s="596"/>
      <c r="AE33" s="138" t="s">
        <v>38</v>
      </c>
      <c r="AF33" s="590">
        <f>IF($G$20=8,$C$20,0)</f>
        <v>0</v>
      </c>
      <c r="AH33" s="628"/>
      <c r="AI33" s="93"/>
      <c r="AL33" s="358">
        <f>H18</f>
        <v>3550</v>
      </c>
      <c r="BC33" s="826"/>
      <c r="BD33" s="827"/>
      <c r="BE33" s="827"/>
      <c r="BF33" s="827"/>
      <c r="BG33" s="827"/>
      <c r="BH33" s="826"/>
      <c r="BI33" s="827"/>
      <c r="BJ33" s="827"/>
      <c r="BK33" s="827"/>
      <c r="BL33" s="827"/>
      <c r="BM33" s="827"/>
      <c r="BN33" s="827"/>
      <c r="BO33" s="827"/>
      <c r="BP33" s="827"/>
      <c r="BQ33" s="827"/>
      <c r="BR33" s="827"/>
      <c r="BS33" s="827"/>
      <c r="BT33" s="827"/>
      <c r="BU33" s="827"/>
      <c r="BV33" s="827"/>
      <c r="BW33" s="828"/>
    </row>
    <row r="34" spans="1:89" ht="20.25">
      <c r="A34" s="488">
        <v>27</v>
      </c>
      <c r="B34" s="469" t="s">
        <v>147</v>
      </c>
      <c r="C34" s="481"/>
      <c r="D34" s="481"/>
      <c r="E34" s="481"/>
      <c r="F34" s="481"/>
      <c r="G34" s="481"/>
      <c r="H34" s="481"/>
      <c r="I34" s="481"/>
      <c r="J34" s="468"/>
      <c r="K34" s="468"/>
      <c r="L34" s="464"/>
      <c r="M34" s="527"/>
      <c r="N34" s="539"/>
      <c r="O34" s="540" t="s">
        <v>148</v>
      </c>
      <c r="P34" s="540"/>
      <c r="Q34" s="540"/>
      <c r="R34" s="540"/>
      <c r="S34" s="540"/>
      <c r="T34" s="574"/>
      <c r="U34" s="574"/>
      <c r="V34" s="574"/>
      <c r="W34" s="574"/>
      <c r="X34" s="574"/>
      <c r="Y34" s="574"/>
      <c r="Z34" s="574"/>
      <c r="AA34" s="574"/>
      <c r="AB34" s="597"/>
      <c r="AC34" s="598"/>
      <c r="AD34" s="596"/>
      <c r="AE34" s="138" t="s">
        <v>40</v>
      </c>
      <c r="AF34" s="590">
        <f>IF($G$20=9,$C$20,0)</f>
        <v>0</v>
      </c>
      <c r="AH34" s="628"/>
      <c r="AI34" s="93"/>
      <c r="BC34" s="851">
        <f>'Details of Deductions'!A27</f>
        <v>7390</v>
      </c>
      <c r="BD34" s="845"/>
      <c r="BE34" s="845"/>
      <c r="BF34" s="845"/>
      <c r="BG34" s="846"/>
      <c r="BH34" s="646"/>
      <c r="BI34" s="647"/>
      <c r="BJ34" s="845">
        <f>'Details of Deductions'!B27</f>
        <v>0</v>
      </c>
      <c r="BK34" s="845"/>
      <c r="BL34" s="845"/>
      <c r="BM34" s="845"/>
      <c r="BN34" s="845"/>
      <c r="BO34" s="845"/>
      <c r="BP34" s="845"/>
      <c r="BQ34" s="845"/>
      <c r="BR34" s="845"/>
      <c r="BS34" s="845"/>
      <c r="BT34" s="845"/>
      <c r="BU34" s="845"/>
      <c r="BV34" s="845"/>
      <c r="BW34" s="846"/>
    </row>
    <row r="35" spans="1:89" ht="15" customHeight="1">
      <c r="A35" s="488">
        <v>28</v>
      </c>
      <c r="B35" s="489" t="s">
        <v>149</v>
      </c>
      <c r="C35" s="900"/>
      <c r="D35" s="901"/>
      <c r="E35" s="901"/>
      <c r="F35" s="901"/>
      <c r="G35" s="901"/>
      <c r="H35" s="901"/>
      <c r="I35" s="901"/>
      <c r="J35" s="901"/>
      <c r="K35" s="901"/>
      <c r="L35" s="902"/>
      <c r="M35" s="527"/>
      <c r="N35" s="527"/>
      <c r="O35" s="541"/>
      <c r="P35" s="527"/>
      <c r="Q35" s="575"/>
      <c r="R35" s="527"/>
      <c r="S35" s="527"/>
      <c r="T35" s="575"/>
      <c r="U35" s="575"/>
      <c r="V35" s="575"/>
      <c r="W35" s="903"/>
      <c r="X35" s="903"/>
      <c r="Y35" s="903"/>
      <c r="Z35" s="903"/>
      <c r="AA35" s="903"/>
      <c r="AB35" s="903"/>
      <c r="AC35" s="599"/>
      <c r="AD35" s="596"/>
      <c r="AE35" s="138" t="s">
        <v>41</v>
      </c>
      <c r="AF35" s="590">
        <f>IF($G$20=10,$C$20,0)</f>
        <v>0</v>
      </c>
      <c r="AH35" s="628"/>
      <c r="AI35" s="93"/>
      <c r="BC35" s="852"/>
      <c r="BD35" s="847"/>
      <c r="BE35" s="847"/>
      <c r="BF35" s="847"/>
      <c r="BG35" s="848"/>
      <c r="BH35" s="648"/>
      <c r="BI35" s="649"/>
      <c r="BJ35" s="847"/>
      <c r="BK35" s="847"/>
      <c r="BL35" s="847"/>
      <c r="BM35" s="847"/>
      <c r="BN35" s="847"/>
      <c r="BO35" s="847"/>
      <c r="BP35" s="847"/>
      <c r="BQ35" s="847"/>
      <c r="BR35" s="847"/>
      <c r="BS35" s="847"/>
      <c r="BT35" s="847"/>
      <c r="BU35" s="847"/>
      <c r="BV35" s="847"/>
      <c r="BW35" s="848"/>
    </row>
    <row r="36" spans="1:89" ht="16.5" customHeight="1">
      <c r="A36" s="488">
        <v>29</v>
      </c>
      <c r="B36" s="469" t="s">
        <v>150</v>
      </c>
      <c r="C36" s="904" t="s">
        <v>151</v>
      </c>
      <c r="D36" s="905"/>
      <c r="E36" s="905"/>
      <c r="F36" s="905"/>
      <c r="G36" s="905"/>
      <c r="H36" s="905"/>
      <c r="I36" s="905"/>
      <c r="J36" s="905"/>
      <c r="K36" s="905"/>
      <c r="L36" s="906"/>
      <c r="M36" s="527"/>
      <c r="N36" s="527"/>
      <c r="O36" s="541"/>
      <c r="P36" s="527"/>
      <c r="Q36" s="575"/>
      <c r="R36" s="527"/>
      <c r="S36" s="527"/>
      <c r="T36" s="575"/>
      <c r="U36" s="575"/>
      <c r="V36" s="575"/>
      <c r="W36" s="903"/>
      <c r="X36" s="903"/>
      <c r="Y36" s="903"/>
      <c r="Z36" s="903"/>
      <c r="AA36" s="903"/>
      <c r="AB36" s="903"/>
      <c r="AC36" s="600"/>
      <c r="AD36" s="601"/>
      <c r="AE36" s="138" t="s">
        <v>43</v>
      </c>
      <c r="AF36" s="590">
        <f>IF($G$20=11,$C$20,0)</f>
        <v>0</v>
      </c>
      <c r="AH36" s="628"/>
      <c r="AI36" s="93"/>
      <c r="BC36" s="853"/>
      <c r="BD36" s="849"/>
      <c r="BE36" s="849"/>
      <c r="BF36" s="849"/>
      <c r="BG36" s="850"/>
      <c r="BH36" s="650"/>
      <c r="BI36" s="651"/>
      <c r="BJ36" s="849"/>
      <c r="BK36" s="849"/>
      <c r="BL36" s="849"/>
      <c r="BM36" s="849"/>
      <c r="BN36" s="849"/>
      <c r="BO36" s="849"/>
      <c r="BP36" s="849"/>
      <c r="BQ36" s="849"/>
      <c r="BR36" s="849"/>
      <c r="BS36" s="849"/>
      <c r="BT36" s="849"/>
      <c r="BU36" s="849"/>
      <c r="BV36" s="849"/>
      <c r="BW36" s="850"/>
    </row>
    <row r="37" spans="1:89">
      <c r="A37" s="490">
        <v>30</v>
      </c>
      <c r="B37" s="489" t="s">
        <v>152</v>
      </c>
      <c r="C37" s="491" t="s">
        <v>153</v>
      </c>
      <c r="D37" s="492"/>
      <c r="E37" s="493"/>
      <c r="F37" s="491" t="s">
        <v>154</v>
      </c>
      <c r="G37" s="492"/>
      <c r="H37" s="492"/>
      <c r="I37" s="492"/>
      <c r="J37" s="492"/>
      <c r="K37" s="492"/>
      <c r="L37" s="492"/>
      <c r="M37" s="493"/>
      <c r="N37" s="542" t="s">
        <v>155</v>
      </c>
      <c r="O37" s="543"/>
      <c r="P37" s="542"/>
      <c r="Q37" s="543"/>
      <c r="R37" s="542"/>
      <c r="S37" s="576"/>
      <c r="T37" s="577" t="s">
        <v>156</v>
      </c>
      <c r="U37" s="578"/>
      <c r="V37" s="577"/>
      <c r="W37" s="578"/>
      <c r="X37" s="577"/>
      <c r="Y37" s="577"/>
      <c r="Z37" s="578"/>
      <c r="AA37" s="578"/>
      <c r="AB37" s="578"/>
      <c r="AC37" s="602"/>
      <c r="AD37" s="603"/>
      <c r="AE37" s="604" t="s">
        <v>44</v>
      </c>
      <c r="AF37" s="590">
        <f>IF($G$20=12,$C$20,0)</f>
        <v>0</v>
      </c>
      <c r="BC37" s="588"/>
      <c r="BD37" s="588"/>
      <c r="BE37" s="588"/>
      <c r="BF37" s="588"/>
      <c r="BG37" s="588"/>
      <c r="BH37" s="588"/>
      <c r="BI37" s="588"/>
      <c r="BJ37" s="588"/>
      <c r="BK37" s="588"/>
      <c r="BL37" s="588"/>
      <c r="BM37" s="588"/>
    </row>
    <row r="38" spans="1:89" ht="12.75" customHeight="1">
      <c r="A38" s="486"/>
      <c r="B38" s="494"/>
      <c r="C38" s="495"/>
      <c r="D38" s="496"/>
      <c r="E38" s="497"/>
      <c r="F38" s="495"/>
      <c r="G38" s="496"/>
      <c r="H38" s="496"/>
      <c r="I38" s="496"/>
      <c r="J38" s="496"/>
      <c r="K38" s="496"/>
      <c r="L38" s="496"/>
      <c r="M38" s="497"/>
      <c r="N38" s="544" t="s">
        <v>157</v>
      </c>
      <c r="O38" s="545"/>
      <c r="P38" s="546"/>
      <c r="Q38" s="545"/>
      <c r="R38" s="546"/>
      <c r="S38" s="579"/>
      <c r="T38" s="580" t="s">
        <v>158</v>
      </c>
      <c r="U38" s="581"/>
      <c r="V38" s="582"/>
      <c r="W38" s="581"/>
      <c r="X38" s="582"/>
      <c r="Y38" s="582"/>
      <c r="Z38" s="581"/>
      <c r="AA38" s="581"/>
      <c r="AB38" s="581"/>
      <c r="AC38" s="605"/>
      <c r="AE38" s="604" t="s">
        <v>45</v>
      </c>
      <c r="AF38" s="590">
        <f>IF($G$20=1,$C$20,0)</f>
        <v>0</v>
      </c>
      <c r="BC38" s="588"/>
      <c r="BD38" s="588"/>
      <c r="BE38" s="588"/>
      <c r="BF38" s="588"/>
      <c r="BG38" s="588"/>
      <c r="BH38" s="588"/>
      <c r="BI38" s="588"/>
      <c r="BJ38" s="588"/>
      <c r="BK38" s="588"/>
      <c r="BL38" s="588"/>
      <c r="BM38" s="588"/>
    </row>
    <row r="39" spans="1:89" ht="15.75" customHeight="1">
      <c r="A39" s="486"/>
      <c r="B39" s="498"/>
      <c r="C39" s="499" t="s">
        <v>159</v>
      </c>
      <c r="D39" s="500"/>
      <c r="E39" s="501"/>
      <c r="F39" s="888"/>
      <c r="G39" s="889"/>
      <c r="H39" s="889"/>
      <c r="I39" s="889"/>
      <c r="J39" s="889"/>
      <c r="K39" s="889"/>
      <c r="L39" s="889"/>
      <c r="M39" s="890"/>
      <c r="N39" s="879"/>
      <c r="O39" s="880"/>
      <c r="P39" s="880"/>
      <c r="Q39" s="880"/>
      <c r="R39" s="880"/>
      <c r="S39" s="583"/>
      <c r="T39" s="879">
        <v>0</v>
      </c>
      <c r="U39" s="880"/>
      <c r="V39" s="880"/>
      <c r="W39" s="880"/>
      <c r="X39" s="880"/>
      <c r="Y39" s="880"/>
      <c r="Z39" s="606"/>
      <c r="AA39" s="606"/>
      <c r="AB39" s="606"/>
      <c r="AC39" s="607"/>
      <c r="AD39" s="608"/>
      <c r="AE39" s="609" t="s">
        <v>160</v>
      </c>
      <c r="AF39" s="610"/>
      <c r="AG39" s="610"/>
      <c r="AH39" s="634"/>
      <c r="AO39" s="589"/>
      <c r="BC39" s="643"/>
      <c r="BD39" s="643"/>
      <c r="BE39" s="643"/>
      <c r="BF39" s="643"/>
      <c r="BG39" s="643"/>
      <c r="BH39" s="643"/>
      <c r="BI39" s="643"/>
      <c r="BJ39" s="643"/>
      <c r="BK39" s="643"/>
      <c r="BL39" s="643"/>
      <c r="BM39" s="643"/>
      <c r="BN39" s="643"/>
      <c r="BO39" s="643"/>
      <c r="BP39" s="643"/>
      <c r="BQ39" s="643"/>
      <c r="BR39" s="643"/>
      <c r="BS39" s="643"/>
      <c r="BT39" s="643"/>
      <c r="BU39" s="643"/>
      <c r="BV39" s="643"/>
      <c r="BW39" s="643"/>
      <c r="BX39" s="643"/>
      <c r="BY39" s="643"/>
      <c r="BZ39" s="643"/>
      <c r="CA39" s="643"/>
      <c r="CB39" s="643"/>
      <c r="CC39" s="643"/>
      <c r="CD39" s="643"/>
      <c r="CE39" s="643"/>
      <c r="CF39" s="643"/>
      <c r="CG39" s="643"/>
      <c r="CH39" s="643"/>
      <c r="CI39" s="643"/>
      <c r="CJ39" s="643"/>
      <c r="CK39" s="643"/>
    </row>
    <row r="40" spans="1:89" ht="15.75">
      <c r="A40" s="485"/>
      <c r="B40" s="502"/>
      <c r="C40" s="499" t="s">
        <v>161</v>
      </c>
      <c r="D40" s="500"/>
      <c r="E40" s="501"/>
      <c r="F40" s="891"/>
      <c r="G40" s="892"/>
      <c r="H40" s="892"/>
      <c r="I40" s="892"/>
      <c r="J40" s="892"/>
      <c r="K40" s="892"/>
      <c r="L40" s="892"/>
      <c r="M40" s="893"/>
      <c r="N40" s="879"/>
      <c r="O40" s="880"/>
      <c r="P40" s="880"/>
      <c r="Q40" s="880"/>
      <c r="R40" s="880"/>
      <c r="S40" s="583"/>
      <c r="T40" s="879"/>
      <c r="U40" s="880"/>
      <c r="V40" s="880"/>
      <c r="W40" s="880"/>
      <c r="X40" s="880"/>
      <c r="Y40" s="880"/>
      <c r="Z40" s="606"/>
      <c r="AA40" s="606"/>
      <c r="AB40" s="606"/>
      <c r="AC40" s="607"/>
      <c r="AD40" s="611"/>
      <c r="AE40" s="612" t="s">
        <v>162</v>
      </c>
      <c r="AF40" s="610"/>
      <c r="AG40" s="610"/>
      <c r="AH40" s="634"/>
      <c r="AK40" s="279">
        <f>N39</f>
        <v>0</v>
      </c>
      <c r="AL40" s="279">
        <f>T39</f>
        <v>0</v>
      </c>
      <c r="BC40" s="644">
        <f>'Salary Details'!F38</f>
        <v>2800</v>
      </c>
      <c r="BD40" s="643"/>
      <c r="BE40" s="643"/>
      <c r="BF40" s="643"/>
      <c r="BG40" s="643"/>
      <c r="BH40" s="643"/>
      <c r="BI40" s="643"/>
      <c r="BJ40" s="643"/>
      <c r="BK40" s="643"/>
      <c r="BL40" s="643"/>
      <c r="BM40" s="643"/>
      <c r="BN40" s="643"/>
      <c r="BO40" s="643"/>
      <c r="BP40" s="643"/>
      <c r="BQ40" s="643"/>
      <c r="BR40" s="643"/>
      <c r="BS40" s="643"/>
      <c r="BT40" s="643"/>
      <c r="BU40" s="643"/>
      <c r="BV40" s="643"/>
      <c r="BW40" s="643"/>
      <c r="BX40" s="643"/>
      <c r="BY40" s="643"/>
      <c r="BZ40" s="643"/>
      <c r="CA40" s="643"/>
      <c r="CB40" s="643"/>
      <c r="CC40" s="643"/>
      <c r="CD40" s="643"/>
      <c r="CE40" s="643"/>
      <c r="CF40" s="643"/>
      <c r="CG40" s="643"/>
      <c r="CH40" s="643"/>
      <c r="CI40" s="643"/>
      <c r="CJ40" s="643"/>
      <c r="CK40" s="643"/>
    </row>
    <row r="41" spans="1:89" ht="16.5" customHeight="1">
      <c r="A41" s="485"/>
      <c r="B41" s="503"/>
      <c r="C41" s="499" t="s">
        <v>163</v>
      </c>
      <c r="D41" s="500"/>
      <c r="E41" s="501"/>
      <c r="F41" s="888"/>
      <c r="G41" s="889"/>
      <c r="H41" s="889"/>
      <c r="I41" s="889"/>
      <c r="J41" s="889"/>
      <c r="K41" s="889"/>
      <c r="L41" s="889"/>
      <c r="M41" s="890"/>
      <c r="N41" s="879"/>
      <c r="O41" s="880"/>
      <c r="P41" s="880"/>
      <c r="Q41" s="880"/>
      <c r="R41" s="880"/>
      <c r="S41" s="583"/>
      <c r="T41" s="879"/>
      <c r="U41" s="880"/>
      <c r="V41" s="880"/>
      <c r="W41" s="880"/>
      <c r="X41" s="880"/>
      <c r="Y41" s="880"/>
      <c r="Z41" s="606"/>
      <c r="AA41" s="606"/>
      <c r="AB41" s="606"/>
      <c r="AC41" s="607"/>
      <c r="AD41" s="611"/>
      <c r="AE41" s="612" t="s">
        <v>164</v>
      </c>
      <c r="AK41" s="279">
        <f>N40</f>
        <v>0</v>
      </c>
      <c r="AL41" s="279">
        <f>T40</f>
        <v>0</v>
      </c>
      <c r="BC41" s="644">
        <f>'Salary Details'!F39</f>
        <v>4200</v>
      </c>
      <c r="BD41" s="643"/>
      <c r="BE41" s="643"/>
      <c r="BF41" s="643"/>
      <c r="BG41" s="643"/>
      <c r="BH41" s="643"/>
      <c r="BI41" s="643"/>
      <c r="BJ41" s="643"/>
      <c r="BK41" s="643"/>
      <c r="BL41" s="643"/>
      <c r="BM41" s="643"/>
      <c r="BN41" s="643"/>
      <c r="BO41" s="643"/>
      <c r="BP41" s="643"/>
      <c r="BQ41" s="643"/>
      <c r="BR41" s="643"/>
      <c r="BS41" s="643"/>
      <c r="BT41" s="643"/>
      <c r="BU41" s="643"/>
      <c r="BV41" s="643"/>
      <c r="BW41" s="643"/>
      <c r="BX41" s="643"/>
      <c r="BY41" s="643"/>
      <c r="BZ41" s="643"/>
      <c r="CA41" s="643"/>
      <c r="CB41" s="643"/>
      <c r="CC41" s="643"/>
      <c r="CD41" s="643"/>
      <c r="CE41" s="643"/>
      <c r="CF41" s="643"/>
      <c r="CG41" s="643"/>
      <c r="CH41" s="643"/>
      <c r="CI41" s="643"/>
      <c r="CJ41" s="643"/>
      <c r="CK41" s="643"/>
    </row>
    <row r="42" spans="1:89" ht="15.75" customHeight="1">
      <c r="A42" s="458"/>
      <c r="B42" s="503"/>
      <c r="C42" s="873" t="s">
        <v>165</v>
      </c>
      <c r="D42" s="874"/>
      <c r="E42" s="875"/>
      <c r="F42" s="876"/>
      <c r="G42" s="877"/>
      <c r="H42" s="877"/>
      <c r="I42" s="877"/>
      <c r="J42" s="877"/>
      <c r="K42" s="877"/>
      <c r="L42" s="877"/>
      <c r="M42" s="878"/>
      <c r="N42" s="879"/>
      <c r="O42" s="880"/>
      <c r="P42" s="880"/>
      <c r="Q42" s="880"/>
      <c r="R42" s="880"/>
      <c r="S42" s="583"/>
      <c r="T42" s="879"/>
      <c r="U42" s="880"/>
      <c r="V42" s="880"/>
      <c r="W42" s="880"/>
      <c r="X42" s="880"/>
      <c r="Y42" s="880"/>
      <c r="Z42" s="606"/>
      <c r="AA42" s="606"/>
      <c r="AB42" s="606"/>
      <c r="AC42" s="607"/>
      <c r="AD42" s="611"/>
      <c r="AK42" s="279">
        <f>N41</f>
        <v>0</v>
      </c>
      <c r="AL42" s="279">
        <f>T41</f>
        <v>0</v>
      </c>
      <c r="BC42" s="643"/>
      <c r="BD42" s="643"/>
      <c r="BE42" s="643"/>
      <c r="BF42" s="643"/>
      <c r="BG42" s="643"/>
      <c r="BH42" s="643"/>
      <c r="BI42" s="643"/>
      <c r="BJ42" s="643"/>
      <c r="BK42" s="643"/>
      <c r="BL42" s="643"/>
      <c r="BM42" s="643"/>
      <c r="BN42" s="643"/>
      <c r="BO42" s="643"/>
      <c r="BP42" s="643"/>
      <c r="BQ42" s="643"/>
      <c r="BR42" s="643"/>
      <c r="BS42" s="643"/>
      <c r="BT42" s="643"/>
      <c r="BU42" s="643"/>
      <c r="BV42" s="643"/>
      <c r="BW42" s="643"/>
      <c r="BX42" s="643"/>
      <c r="BY42" s="643"/>
      <c r="BZ42" s="643"/>
      <c r="CA42" s="643"/>
      <c r="CB42" s="643"/>
      <c r="CC42" s="643"/>
      <c r="CD42" s="643"/>
      <c r="CE42" s="643"/>
      <c r="CF42" s="643"/>
      <c r="CG42" s="643"/>
      <c r="CH42" s="643"/>
      <c r="CI42" s="643"/>
      <c r="CJ42" s="643"/>
      <c r="CK42" s="643"/>
    </row>
    <row r="43" spans="1:89" ht="15" customHeight="1">
      <c r="A43" s="504"/>
      <c r="B43" s="505"/>
      <c r="C43" s="506" t="s">
        <v>166</v>
      </c>
      <c r="D43" s="507"/>
      <c r="E43" s="508"/>
      <c r="F43" s="509"/>
      <c r="G43" s="509"/>
      <c r="H43" s="509"/>
      <c r="I43" s="509"/>
      <c r="J43" s="509"/>
      <c r="K43" s="509"/>
      <c r="L43" s="509"/>
      <c r="M43" s="547"/>
      <c r="N43" s="881">
        <f>SUM(N39:N42)</f>
        <v>0</v>
      </c>
      <c r="O43" s="882"/>
      <c r="P43" s="882"/>
      <c r="Q43" s="882"/>
      <c r="R43" s="882"/>
      <c r="S43" s="584"/>
      <c r="T43" s="882">
        <f>SUM(T39:T42)</f>
        <v>0</v>
      </c>
      <c r="U43" s="883"/>
      <c r="V43" s="883"/>
      <c r="W43" s="883"/>
      <c r="X43" s="883"/>
      <c r="Y43" s="883"/>
      <c r="Z43" s="509"/>
      <c r="AA43" s="509"/>
      <c r="AB43" s="509"/>
      <c r="AC43" s="613"/>
      <c r="AE43" s="614" t="s">
        <v>167</v>
      </c>
      <c r="AF43" s="126"/>
      <c r="AG43" s="126"/>
      <c r="AH43" s="125"/>
      <c r="AK43" s="279">
        <f>N42</f>
        <v>0</v>
      </c>
      <c r="AL43" s="279">
        <f>T42</f>
        <v>0</v>
      </c>
      <c r="BC43" s="643"/>
      <c r="BD43" s="643"/>
      <c r="BE43" s="643"/>
      <c r="BF43" s="643"/>
      <c r="BG43" s="643"/>
      <c r="BH43" s="643"/>
      <c r="BI43" s="643"/>
      <c r="BJ43" s="643"/>
      <c r="BK43" s="643"/>
      <c r="BL43" s="643"/>
      <c r="BM43" s="643"/>
      <c r="BN43" s="643"/>
      <c r="BO43" s="643"/>
      <c r="BP43" s="643"/>
      <c r="BQ43" s="643"/>
      <c r="BR43" s="643"/>
      <c r="BS43" s="643"/>
      <c r="BT43" s="643"/>
      <c r="BU43" s="643"/>
      <c r="BV43" s="643"/>
      <c r="BW43" s="643"/>
      <c r="BX43" s="643"/>
      <c r="BY43" s="643"/>
      <c r="BZ43" s="643"/>
      <c r="CA43" s="643"/>
      <c r="CB43" s="643"/>
      <c r="CC43" s="643"/>
      <c r="CD43" s="643"/>
      <c r="CE43" s="643"/>
      <c r="CF43" s="643"/>
      <c r="CG43" s="643"/>
      <c r="CH43" s="643"/>
      <c r="CI43" s="643"/>
      <c r="CJ43" s="643"/>
      <c r="CK43" s="643"/>
    </row>
    <row r="44" spans="1:89" ht="15" customHeight="1">
      <c r="A44" s="510"/>
      <c r="B44" s="511"/>
      <c r="C44" s="105"/>
      <c r="D44" s="105"/>
      <c r="E44" s="105"/>
      <c r="F44" s="512"/>
      <c r="G44" s="512"/>
      <c r="H44" s="512"/>
      <c r="I44" s="512"/>
      <c r="J44" s="512"/>
      <c r="K44" s="512"/>
      <c r="L44" s="512"/>
      <c r="M44" s="512"/>
      <c r="N44" s="512"/>
      <c r="O44" s="548"/>
      <c r="P44" s="549"/>
      <c r="Q44" s="585"/>
      <c r="R44" s="586"/>
      <c r="S44" s="586"/>
      <c r="T44" s="586"/>
      <c r="U44" s="586"/>
      <c r="V44" s="586"/>
      <c r="W44" s="586"/>
      <c r="X44" s="586"/>
      <c r="Y44" s="586"/>
      <c r="Z44" s="586"/>
      <c r="AA44" s="586"/>
      <c r="AB44" s="586"/>
      <c r="AC44" s="615"/>
      <c r="AE44" s="40">
        <f>C22</f>
        <v>0</v>
      </c>
      <c r="AF44" s="40"/>
      <c r="AG44" s="40"/>
      <c r="AH44" s="38"/>
      <c r="AI44" s="884"/>
      <c r="AJ44" s="872"/>
      <c r="AK44" s="872"/>
      <c r="BC44" s="643"/>
      <c r="BD44" s="643"/>
      <c r="BE44" s="643"/>
      <c r="BF44" s="643"/>
      <c r="BG44" s="643"/>
      <c r="BH44" s="643"/>
      <c r="BI44" s="643"/>
      <c r="BJ44" s="643"/>
      <c r="BK44" s="643"/>
      <c r="BL44" s="643"/>
      <c r="BM44" s="643"/>
      <c r="BN44" s="643"/>
      <c r="BO44" s="643"/>
      <c r="BP44" s="643"/>
      <c r="BQ44" s="643"/>
      <c r="BR44" s="643"/>
      <c r="BS44" s="643"/>
      <c r="BT44" s="643"/>
      <c r="BU44" s="643"/>
      <c r="BV44" s="643"/>
      <c r="BW44" s="643"/>
      <c r="BX44" s="643"/>
      <c r="BY44" s="643"/>
      <c r="BZ44" s="643"/>
      <c r="CA44" s="643"/>
      <c r="CB44" s="643"/>
      <c r="CC44" s="643"/>
      <c r="CD44" s="643"/>
      <c r="CE44" s="643"/>
      <c r="CF44" s="643"/>
      <c r="CG44" s="643"/>
      <c r="CH44" s="643"/>
      <c r="CI44" s="643"/>
      <c r="CJ44" s="643"/>
      <c r="CK44" s="643"/>
    </row>
    <row r="45" spans="1:89" ht="15" customHeight="1">
      <c r="A45" s="7"/>
      <c r="B45" s="885" t="s">
        <v>168</v>
      </c>
      <c r="C45" s="886"/>
      <c r="D45" s="886"/>
      <c r="E45" s="886"/>
      <c r="F45" s="886"/>
      <c r="G45" s="886"/>
      <c r="H45" s="886"/>
      <c r="I45" s="887"/>
      <c r="J45" s="550"/>
      <c r="K45" s="551"/>
      <c r="L45" s="551"/>
      <c r="M45" s="551"/>
      <c r="N45" s="551"/>
      <c r="O45" s="551"/>
      <c r="P45" s="551"/>
      <c r="Q45" s="551"/>
      <c r="R45" s="551"/>
      <c r="S45" s="551"/>
      <c r="T45" s="885" t="s">
        <v>169</v>
      </c>
      <c r="U45" s="886"/>
      <c r="V45" s="886"/>
      <c r="W45" s="886"/>
      <c r="X45" s="886"/>
      <c r="Y45" s="886"/>
      <c r="Z45" s="886"/>
      <c r="AA45" s="886"/>
      <c r="AB45" s="886"/>
      <c r="AC45" s="887"/>
      <c r="BC45" s="643"/>
      <c r="BD45" s="643"/>
      <c r="BE45" s="643"/>
      <c r="BF45" s="643"/>
      <c r="BG45" s="643"/>
      <c r="BH45" s="643"/>
      <c r="BI45" s="643"/>
      <c r="BJ45" s="643"/>
      <c r="BK45" s="643"/>
      <c r="BL45" s="643"/>
      <c r="BM45" s="643"/>
      <c r="BN45" s="643"/>
      <c r="BO45" s="643"/>
      <c r="BP45" s="643"/>
      <c r="BQ45" s="643"/>
      <c r="BR45" s="643"/>
      <c r="BS45" s="643"/>
      <c r="BT45" s="643"/>
      <c r="BU45" s="643"/>
      <c r="BV45" s="643"/>
      <c r="BW45" s="643"/>
      <c r="BX45" s="643"/>
      <c r="BY45" s="643"/>
      <c r="BZ45" s="643"/>
      <c r="CA45" s="643"/>
      <c r="CB45" s="643"/>
      <c r="CC45" s="643"/>
      <c r="CD45" s="643"/>
      <c r="CE45" s="643"/>
      <c r="CF45" s="643"/>
      <c r="CG45" s="643"/>
      <c r="CH45" s="643"/>
      <c r="CI45" s="643"/>
      <c r="CJ45" s="643"/>
      <c r="CK45" s="643"/>
    </row>
    <row r="46" spans="1:89" ht="18.75">
      <c r="A46" s="7"/>
      <c r="B46" s="866" t="s">
        <v>170</v>
      </c>
      <c r="C46" s="867"/>
      <c r="D46" s="867"/>
      <c r="E46" s="867"/>
      <c r="F46" s="867"/>
      <c r="G46" s="867"/>
      <c r="H46" s="867"/>
      <c r="I46" s="868"/>
      <c r="J46" s="552"/>
      <c r="K46" s="553"/>
      <c r="L46" s="553"/>
      <c r="M46" s="553"/>
      <c r="N46" s="553"/>
      <c r="O46" s="553"/>
      <c r="P46" s="553"/>
      <c r="Q46" s="553"/>
      <c r="R46" s="553"/>
      <c r="S46" s="553"/>
      <c r="T46" s="866" t="s">
        <v>171</v>
      </c>
      <c r="U46" s="867"/>
      <c r="V46" s="867"/>
      <c r="W46" s="867"/>
      <c r="X46" s="867"/>
      <c r="Y46" s="867"/>
      <c r="Z46" s="867"/>
      <c r="AA46" s="867"/>
      <c r="AB46" s="867"/>
      <c r="AC46" s="868"/>
      <c r="AE46" s="616" t="s">
        <v>172</v>
      </c>
      <c r="BC46" s="643"/>
      <c r="BD46" s="643"/>
      <c r="BE46" s="643"/>
      <c r="BF46" s="643"/>
      <c r="BG46" s="643"/>
      <c r="BH46" s="643"/>
      <c r="BI46" s="643"/>
      <c r="BJ46" s="643"/>
      <c r="BK46" s="643"/>
      <c r="BL46" s="643"/>
      <c r="BM46" s="643"/>
      <c r="BN46" s="643"/>
      <c r="BO46" s="643"/>
      <c r="BP46" s="643"/>
      <c r="BQ46" s="643"/>
      <c r="BR46" s="643"/>
      <c r="BS46" s="643"/>
      <c r="BT46" s="643"/>
      <c r="BU46" s="643"/>
      <c r="BV46" s="643"/>
      <c r="BW46" s="643"/>
      <c r="BX46" s="643"/>
      <c r="BY46" s="643"/>
      <c r="BZ46" s="643"/>
      <c r="CA46" s="643"/>
      <c r="CB46" s="643"/>
      <c r="CC46" s="643"/>
      <c r="CD46" s="643"/>
      <c r="CE46" s="643"/>
      <c r="CF46" s="643"/>
      <c r="CG46" s="643"/>
      <c r="CH46" s="643"/>
      <c r="CI46" s="643"/>
      <c r="CJ46" s="643"/>
      <c r="CK46" s="643"/>
    </row>
    <row r="47" spans="1:89" ht="15" customHeight="1">
      <c r="A47" s="7"/>
      <c r="B47" s="866" t="s">
        <v>173</v>
      </c>
      <c r="C47" s="867"/>
      <c r="D47" s="867"/>
      <c r="E47" s="867"/>
      <c r="F47" s="867"/>
      <c r="G47" s="867"/>
      <c r="H47" s="867"/>
      <c r="I47" s="868"/>
      <c r="J47" s="552"/>
      <c r="K47" s="553"/>
      <c r="L47" s="553"/>
      <c r="M47" s="553"/>
      <c r="N47" s="553"/>
      <c r="O47" s="553"/>
      <c r="P47" s="553"/>
      <c r="Q47" s="553"/>
      <c r="R47" s="553"/>
      <c r="S47" s="553"/>
      <c r="T47" s="866" t="s">
        <v>174</v>
      </c>
      <c r="U47" s="867"/>
      <c r="V47" s="867"/>
      <c r="W47" s="867"/>
      <c r="X47" s="867"/>
      <c r="Y47" s="867"/>
      <c r="Z47" s="867"/>
      <c r="AA47" s="867"/>
      <c r="AB47" s="867"/>
      <c r="AC47" s="868"/>
      <c r="AE47" s="6" t="s">
        <v>175</v>
      </c>
      <c r="AI47" s="6" t="s">
        <v>176</v>
      </c>
    </row>
    <row r="48" spans="1:89" ht="13.5" customHeight="1">
      <c r="B48" s="866">
        <v>9548541114</v>
      </c>
      <c r="C48" s="867"/>
      <c r="D48" s="867"/>
      <c r="E48" s="867"/>
      <c r="F48" s="867"/>
      <c r="G48" s="867"/>
      <c r="H48" s="867"/>
      <c r="I48" s="868"/>
      <c r="J48" s="552"/>
      <c r="K48" s="553"/>
      <c r="L48" s="553"/>
      <c r="M48" s="553"/>
      <c r="N48" s="553"/>
      <c r="O48" s="553"/>
      <c r="P48" s="553"/>
      <c r="Q48" s="553"/>
      <c r="R48" s="553"/>
      <c r="S48" s="553"/>
      <c r="T48" s="866" t="s">
        <v>177</v>
      </c>
      <c r="U48" s="867"/>
      <c r="V48" s="867"/>
      <c r="W48" s="867"/>
      <c r="X48" s="867"/>
      <c r="Y48" s="867"/>
      <c r="Z48" s="867"/>
      <c r="AA48" s="867"/>
      <c r="AB48" s="867"/>
      <c r="AC48" s="868"/>
      <c r="AI48">
        <f>C22</f>
        <v>0</v>
      </c>
    </row>
    <row r="49" spans="2:89" ht="15" customHeight="1">
      <c r="B49" s="869" t="s">
        <v>178</v>
      </c>
      <c r="C49" s="870"/>
      <c r="D49" s="870"/>
      <c r="E49" s="870"/>
      <c r="F49" s="870"/>
      <c r="G49" s="870"/>
      <c r="H49" s="870"/>
      <c r="I49" s="871"/>
      <c r="J49" s="554"/>
      <c r="K49" s="555"/>
      <c r="L49" s="555"/>
      <c r="M49" s="555"/>
      <c r="N49" s="555"/>
      <c r="O49" s="555"/>
      <c r="P49" s="555"/>
      <c r="Q49" s="555"/>
      <c r="R49" s="555"/>
      <c r="S49" s="555"/>
      <c r="T49" s="869">
        <v>9719041170</v>
      </c>
      <c r="U49" s="870"/>
      <c r="V49" s="870"/>
      <c r="W49" s="870"/>
      <c r="X49" s="870"/>
      <c r="Y49" s="870"/>
      <c r="Z49" s="870"/>
      <c r="AA49" s="870"/>
      <c r="AB49" s="870"/>
      <c r="AC49" s="871"/>
      <c r="AE49" s="617" t="s">
        <v>51</v>
      </c>
      <c r="AI49" s="635" t="s">
        <v>52</v>
      </c>
    </row>
    <row r="50" spans="2:89" ht="12.75" customHeight="1">
      <c r="B50" s="872"/>
      <c r="C50" s="872"/>
      <c r="D50" s="872"/>
      <c r="E50" s="872"/>
      <c r="F50" s="872"/>
      <c r="G50" s="872"/>
      <c r="H50" s="872"/>
      <c r="I50" s="872"/>
      <c r="J50" s="872"/>
      <c r="K50" s="872"/>
      <c r="L50" s="872"/>
      <c r="M50" s="872"/>
      <c r="N50" s="872"/>
      <c r="O50" s="872"/>
      <c r="P50" s="872"/>
      <c r="Q50" s="872"/>
      <c r="R50" s="872"/>
      <c r="S50" s="872"/>
      <c r="T50" s="872"/>
      <c r="U50" s="872"/>
      <c r="V50" s="872"/>
      <c r="W50" s="872"/>
      <c r="X50" s="872"/>
      <c r="Y50" s="872"/>
      <c r="Z50" s="872"/>
      <c r="AA50" s="872"/>
      <c r="AB50" s="872"/>
      <c r="AC50" s="872"/>
    </row>
    <row r="51" spans="2:89" ht="15" customHeight="1">
      <c r="AE51" s="6" t="s">
        <v>53</v>
      </c>
    </row>
    <row r="52" spans="2:89" s="453" customFormat="1" ht="15" customHeight="1"/>
    <row r="53" spans="2:89" s="453" customFormat="1" ht="15" customHeight="1"/>
    <row r="54" spans="2:89" s="453" customFormat="1" ht="15" customHeight="1">
      <c r="CG54" s="654" t="s">
        <v>54</v>
      </c>
      <c r="CI54" s="654" t="s">
        <v>55</v>
      </c>
      <c r="CJ54" s="654" t="s">
        <v>56</v>
      </c>
      <c r="CK54" s="654" t="s">
        <v>57</v>
      </c>
    </row>
    <row r="55" spans="2:89" s="453" customFormat="1" ht="15" customHeight="1">
      <c r="Q55" s="587">
        <f>'Salary Details'!H21</f>
        <v>2800</v>
      </c>
      <c r="CG55" s="654" t="s">
        <v>55</v>
      </c>
      <c r="CH55" s="655"/>
      <c r="CI55" s="656">
        <v>2500</v>
      </c>
      <c r="CJ55" s="656">
        <v>2100</v>
      </c>
      <c r="CK55" s="656">
        <v>1800</v>
      </c>
    </row>
    <row r="56" spans="2:89" s="453" customFormat="1" ht="15" customHeight="1">
      <c r="Q56" s="587"/>
      <c r="CG56" s="654" t="s">
        <v>56</v>
      </c>
      <c r="CH56" s="655"/>
      <c r="CI56" s="656">
        <v>2500</v>
      </c>
      <c r="CJ56" s="656">
        <v>2100</v>
      </c>
      <c r="CK56" s="656">
        <v>1800</v>
      </c>
    </row>
    <row r="57" spans="2:89" s="453" customFormat="1" ht="15" customHeight="1">
      <c r="CG57" s="654" t="s">
        <v>57</v>
      </c>
      <c r="CH57" s="655"/>
      <c r="CI57" s="656">
        <v>2650</v>
      </c>
      <c r="CJ57" s="656">
        <v>2200</v>
      </c>
      <c r="CK57" s="656">
        <v>1800</v>
      </c>
    </row>
    <row r="58" spans="2:89" s="453" customFormat="1" ht="15" customHeight="1">
      <c r="CH58" s="655"/>
      <c r="CI58" s="656">
        <v>3100</v>
      </c>
      <c r="CJ58" s="656">
        <v>2520</v>
      </c>
      <c r="CK58" s="656">
        <v>2050</v>
      </c>
    </row>
    <row r="59" spans="2:89" s="453" customFormat="1" ht="15" customHeight="1">
      <c r="CH59" s="655"/>
      <c r="CI59" s="656">
        <v>3550</v>
      </c>
      <c r="CJ59" s="656">
        <v>2950</v>
      </c>
      <c r="CK59" s="656">
        <v>2350</v>
      </c>
    </row>
    <row r="60" spans="2:89" s="453" customFormat="1" ht="15" customHeight="1">
      <c r="CH60" s="655"/>
      <c r="CI60" s="656">
        <v>4250</v>
      </c>
      <c r="CJ60" s="656">
        <v>3550</v>
      </c>
      <c r="CK60" s="656">
        <v>2850</v>
      </c>
    </row>
    <row r="61" spans="2:89" s="453" customFormat="1" ht="15" customHeight="1">
      <c r="CH61" s="655"/>
      <c r="CI61" s="656">
        <v>5400</v>
      </c>
      <c r="CJ61" s="656">
        <v>4500</v>
      </c>
      <c r="CK61" s="656">
        <v>3600</v>
      </c>
    </row>
    <row r="62" spans="2:89" s="453" customFormat="1" ht="15" customHeight="1">
      <c r="CH62" s="655"/>
      <c r="CI62" s="656">
        <v>5750</v>
      </c>
      <c r="CJ62" s="656">
        <v>4800</v>
      </c>
      <c r="CK62" s="656">
        <v>3800</v>
      </c>
    </row>
    <row r="63" spans="2:89" s="453" customFormat="1" ht="15" customHeight="1">
      <c r="CH63" s="655"/>
      <c r="CI63" s="656">
        <v>6400</v>
      </c>
      <c r="CJ63" s="656">
        <v>5350</v>
      </c>
      <c r="CK63" s="656">
        <v>4250</v>
      </c>
    </row>
    <row r="64" spans="2:89" s="453" customFormat="1" ht="15" customHeight="1">
      <c r="CH64" s="655"/>
      <c r="CI64" s="656">
        <v>6750</v>
      </c>
      <c r="CJ64" s="656">
        <v>5650</v>
      </c>
      <c r="CK64" s="656">
        <v>4500</v>
      </c>
    </row>
    <row r="65" spans="86:89" s="453" customFormat="1" ht="15" customHeight="1">
      <c r="CH65" s="655"/>
      <c r="CI65" s="656">
        <v>8150</v>
      </c>
      <c r="CJ65" s="656">
        <v>6800</v>
      </c>
      <c r="CK65" s="656">
        <v>5450</v>
      </c>
    </row>
    <row r="66" spans="86:89" s="453" customFormat="1" ht="15" customHeight="1">
      <c r="CH66" s="655"/>
      <c r="CI66" s="656">
        <v>9500</v>
      </c>
      <c r="CJ66" s="656">
        <v>7900</v>
      </c>
      <c r="CK66" s="656">
        <v>6350</v>
      </c>
    </row>
    <row r="67" spans="86:89" s="453" customFormat="1" ht="15" customHeight="1">
      <c r="CH67" s="655"/>
      <c r="CI67" s="656">
        <v>12000</v>
      </c>
      <c r="CJ67" s="656">
        <v>8000</v>
      </c>
      <c r="CK67" s="656">
        <v>7000</v>
      </c>
    </row>
    <row r="68" spans="86:89" s="453" customFormat="1" ht="24" customHeight="1">
      <c r="CH68" s="655"/>
      <c r="CI68" s="656">
        <v>12000</v>
      </c>
      <c r="CJ68" s="656">
        <v>8000</v>
      </c>
      <c r="CK68" s="656">
        <v>7000</v>
      </c>
    </row>
    <row r="69" spans="86:89" s="453" customFormat="1" ht="15" customHeight="1">
      <c r="CH69" s="655"/>
      <c r="CI69" s="656">
        <v>12000</v>
      </c>
      <c r="CJ69" s="656">
        <v>8000</v>
      </c>
      <c r="CK69" s="656">
        <v>7000</v>
      </c>
    </row>
    <row r="70" spans="86:89" s="453" customFormat="1" ht="15" customHeight="1">
      <c r="CH70" s="655"/>
      <c r="CI70" s="656">
        <v>12000</v>
      </c>
      <c r="CJ70" s="656">
        <v>8000</v>
      </c>
      <c r="CK70" s="656">
        <v>7000</v>
      </c>
    </row>
    <row r="71" spans="86:89" s="453" customFormat="1" ht="15" customHeight="1">
      <c r="CH71" s="655"/>
      <c r="CI71" s="656">
        <v>12000</v>
      </c>
      <c r="CJ71" s="656">
        <v>8000</v>
      </c>
      <c r="CK71" s="656">
        <v>7000</v>
      </c>
    </row>
    <row r="72" spans="86:89" ht="15" customHeight="1"/>
    <row r="73" spans="86:89" ht="15" customHeight="1"/>
    <row r="74" spans="86:89" ht="15" customHeight="1"/>
    <row r="75" spans="86:89" ht="15" customHeight="1"/>
    <row r="76" spans="86:89" ht="15" customHeight="1"/>
    <row r="77" spans="86:89" ht="15" customHeight="1"/>
    <row r="78" spans="86:89" ht="15" customHeight="1"/>
    <row r="79" spans="86:89" ht="15" customHeight="1"/>
    <row r="80" spans="86:89" ht="15" customHeight="1"/>
    <row r="81" spans="31:31" ht="15" customHeight="1"/>
    <row r="82" spans="31:31" ht="15" customHeight="1"/>
    <row r="83" spans="31:31" ht="15" customHeight="1"/>
    <row r="84" spans="31:31" ht="15" customHeight="1"/>
    <row r="85" spans="31:31" s="454" customFormat="1" ht="15" customHeight="1"/>
    <row r="86" spans="31:31" s="454" customFormat="1" ht="15" customHeight="1"/>
    <row r="87" spans="31:31" s="454" customFormat="1" ht="15" customHeight="1"/>
    <row r="88" spans="31:31" s="454" customFormat="1" ht="15" customHeight="1"/>
    <row r="89" spans="31:31" s="454" customFormat="1" ht="15" customHeight="1"/>
    <row r="90" spans="31:31" s="454" customFormat="1" ht="15" customHeight="1"/>
    <row r="91" spans="31:31" s="454" customFormat="1" ht="15" customHeight="1"/>
    <row r="92" spans="31:31" s="454" customFormat="1" ht="15" customHeight="1"/>
    <row r="93" spans="31:31" s="454" customFormat="1" ht="15" customHeight="1"/>
    <row r="94" spans="31:31" s="454" customFormat="1" ht="15" customHeight="1"/>
    <row r="95" spans="31:31" s="454" customFormat="1" ht="15" customHeight="1">
      <c r="AE95" s="454" t="s">
        <v>179</v>
      </c>
    </row>
    <row r="96" spans="31:31" s="454" customFormat="1" ht="15" customHeight="1">
      <c r="AE96" s="454" t="str">
        <f>C23</f>
        <v>TEHRI</v>
      </c>
    </row>
    <row r="97" spans="2:35" s="454" customFormat="1" ht="15" customHeight="1">
      <c r="B97" s="454" t="str">
        <f>C3</f>
        <v>VIKAS</v>
      </c>
    </row>
    <row r="98" spans="2:35" s="454" customFormat="1" ht="15" customHeight="1">
      <c r="B98" s="657" t="str">
        <f>M8</f>
        <v/>
      </c>
    </row>
    <row r="99" spans="2:35" s="454" customFormat="1" ht="15" customHeight="1"/>
    <row r="100" spans="2:35" s="454" customFormat="1"/>
    <row r="101" spans="2:35" s="454" customFormat="1">
      <c r="AE101" s="454" t="str">
        <f>C23</f>
        <v>TEHRI</v>
      </c>
      <c r="AI101" s="453" t="str">
        <f>C23</f>
        <v>TEHRI</v>
      </c>
    </row>
    <row r="102" spans="2:35" s="454" customFormat="1"/>
    <row r="103" spans="2:35" s="454" customFormat="1">
      <c r="AE103" s="454" t="s">
        <v>58</v>
      </c>
      <c r="AI103" s="658" t="s">
        <v>59</v>
      </c>
    </row>
    <row r="104" spans="2:35" s="454" customFormat="1">
      <c r="AE104" s="454" t="str">
        <f>C23</f>
        <v>TEHRI</v>
      </c>
      <c r="AI104" s="454">
        <f>C22</f>
        <v>0</v>
      </c>
    </row>
    <row r="105" spans="2:35" s="454" customFormat="1">
      <c r="AF105" s="454">
        <f>C15</f>
        <v>6908</v>
      </c>
    </row>
    <row r="106" spans="2:35" s="454" customFormat="1"/>
    <row r="107" spans="2:35" s="454" customFormat="1">
      <c r="AE107" s="454" t="s">
        <v>60</v>
      </c>
    </row>
    <row r="108" spans="2:35" s="454" customFormat="1">
      <c r="AE108" s="454" t="str">
        <f>C23</f>
        <v>TEHRI</v>
      </c>
    </row>
    <row r="109" spans="2:35" s="454" customFormat="1"/>
    <row r="110" spans="2:35" s="454" customFormat="1"/>
    <row r="111" spans="2:35" s="454" customFormat="1"/>
    <row r="112" spans="2:35" s="454" customFormat="1"/>
    <row r="113" s="454" customFormat="1"/>
    <row r="114" s="454" customFormat="1"/>
    <row r="115" s="454" customFormat="1"/>
    <row r="116" s="454" customFormat="1"/>
    <row r="117" s="454" customFormat="1"/>
    <row r="118" s="454" customFormat="1"/>
    <row r="119" s="454" customFormat="1"/>
    <row r="120" s="454" customFormat="1"/>
    <row r="121" s="454" customFormat="1"/>
    <row r="122" s="454" customFormat="1"/>
    <row r="123" s="454" customFormat="1"/>
    <row r="124" s="454" customFormat="1"/>
    <row r="125" s="454" customFormat="1"/>
    <row r="126" s="454" customFormat="1"/>
    <row r="127" s="454" customFormat="1"/>
    <row r="128" s="454" customFormat="1"/>
    <row r="129" s="454" customFormat="1"/>
    <row r="130" s="454" customFormat="1"/>
    <row r="131" s="454" customFormat="1"/>
    <row r="132" s="454" customFormat="1"/>
    <row r="133" s="454" customFormat="1"/>
    <row r="134" s="454" customFormat="1"/>
    <row r="135" s="454" customFormat="1"/>
    <row r="136" s="454" customFormat="1"/>
    <row r="137" s="454" customFormat="1"/>
    <row r="138" s="454" customFormat="1"/>
    <row r="139" s="454" customFormat="1"/>
    <row r="140" s="454" customFormat="1"/>
    <row r="141" s="454" customFormat="1"/>
    <row r="142" s="454" customFormat="1"/>
    <row r="143" s="454" customFormat="1"/>
    <row r="144" s="454" customFormat="1"/>
    <row r="145" s="454" customFormat="1"/>
    <row r="146" s="454" customFormat="1"/>
    <row r="147" s="454" customFormat="1"/>
    <row r="148" s="454" customFormat="1"/>
    <row r="149" s="454" customFormat="1"/>
    <row r="150" s="454" customFormat="1"/>
    <row r="151" s="454" customFormat="1"/>
    <row r="152" s="454" customFormat="1"/>
    <row r="153" s="454" customFormat="1"/>
    <row r="154" s="454" customFormat="1"/>
    <row r="155" s="454" customFormat="1"/>
    <row r="156" s="454" customFormat="1"/>
    <row r="157" s="454" customFormat="1"/>
    <row r="158" s="454" customFormat="1"/>
    <row r="159" s="454" customFormat="1"/>
    <row r="160" s="454" customFormat="1"/>
    <row r="161" s="454" customFormat="1"/>
    <row r="162" s="454" customFormat="1"/>
    <row r="163" s="454" customFormat="1"/>
    <row r="164" s="454" customFormat="1"/>
    <row r="165" s="454" customFormat="1"/>
    <row r="166" s="454" customFormat="1"/>
    <row r="167" s="454" customFormat="1"/>
    <row r="168" s="454" customFormat="1"/>
    <row r="169" s="454" customFormat="1"/>
    <row r="170" s="454" customFormat="1"/>
    <row r="171" s="454" customFormat="1"/>
    <row r="172" s="454" customFormat="1"/>
    <row r="173" s="454" customFormat="1"/>
    <row r="174" s="454" customFormat="1"/>
    <row r="175" s="454" customFormat="1"/>
    <row r="176" s="454" customFormat="1"/>
    <row r="177" s="454" customFormat="1"/>
    <row r="178" s="454" customFormat="1"/>
    <row r="179" s="454" customFormat="1"/>
    <row r="180" s="454" customFormat="1"/>
    <row r="181" s="454" customFormat="1"/>
    <row r="182" s="454" customFormat="1"/>
    <row r="183" s="454" customFormat="1"/>
    <row r="184" s="454" customFormat="1"/>
    <row r="185" s="454" customFormat="1"/>
    <row r="186" s="454" customFormat="1"/>
    <row r="187" s="454" customFormat="1"/>
    <row r="188" s="454" customFormat="1"/>
    <row r="189" s="454" customFormat="1"/>
    <row r="190" s="454" customFormat="1"/>
    <row r="191" s="454" customFormat="1"/>
    <row r="192" s="454" customFormat="1"/>
    <row r="193" s="454" customFormat="1"/>
    <row r="194" s="454" customFormat="1"/>
    <row r="195" s="454" customFormat="1"/>
    <row r="196" s="454" customFormat="1"/>
    <row r="197" s="454" customFormat="1"/>
    <row r="198" s="454" customFormat="1"/>
    <row r="199" s="454" customFormat="1"/>
    <row r="200" s="454" customFormat="1"/>
    <row r="201" s="454" customFormat="1"/>
    <row r="202" s="454" customFormat="1"/>
    <row r="203" s="454" customFormat="1"/>
    <row r="204" s="454" customFormat="1"/>
    <row r="205" s="454" customFormat="1"/>
    <row r="206" s="454" customFormat="1"/>
    <row r="207" s="454" customFormat="1"/>
    <row r="208" s="454" customFormat="1"/>
    <row r="209" s="454" customFormat="1"/>
    <row r="210" s="454" customFormat="1"/>
    <row r="211" s="454" customFormat="1"/>
    <row r="212" s="454" customFormat="1"/>
    <row r="213" s="454" customFormat="1"/>
    <row r="214" s="454" customFormat="1"/>
    <row r="215" s="454" customFormat="1"/>
    <row r="216" s="454" customFormat="1"/>
    <row r="217" s="454" customFormat="1"/>
    <row r="218" s="454" customFormat="1"/>
    <row r="219" s="454" customFormat="1"/>
    <row r="220" s="454" customFormat="1"/>
    <row r="221" s="454" customFormat="1"/>
    <row r="222" s="454" customFormat="1"/>
    <row r="223" s="454" customFormat="1"/>
    <row r="224" s="454" customFormat="1"/>
    <row r="225" s="454" customFormat="1"/>
    <row r="226" s="454" customFormat="1"/>
    <row r="227" s="454" customFormat="1"/>
    <row r="228" s="454" customFormat="1"/>
    <row r="229" s="454" customFormat="1"/>
    <row r="230" s="454" customFormat="1"/>
    <row r="231" s="454" customFormat="1"/>
    <row r="232" s="454" customFormat="1"/>
    <row r="233" s="454" customFormat="1"/>
    <row r="234" s="454" customFormat="1"/>
    <row r="235" s="454" customFormat="1"/>
    <row r="236" s="454" customFormat="1"/>
    <row r="237" s="454" customFormat="1"/>
    <row r="238" s="454" customFormat="1"/>
    <row r="239" s="454" customFormat="1"/>
    <row r="240" s="454" customFormat="1"/>
    <row r="241" s="454" customFormat="1"/>
    <row r="242" s="454" customFormat="1"/>
    <row r="243" s="454" customFormat="1"/>
    <row r="244" s="454" customFormat="1"/>
    <row r="245" s="454" customFormat="1"/>
    <row r="246" s="454" customFormat="1"/>
    <row r="247" s="454" customFormat="1"/>
    <row r="248" s="454" customFormat="1"/>
    <row r="249" s="454" customFormat="1"/>
    <row r="250" s="454" customFormat="1"/>
    <row r="251" s="454" customFormat="1"/>
    <row r="252" s="454" customFormat="1"/>
    <row r="253" s="454" customFormat="1"/>
    <row r="254" s="454" customFormat="1"/>
    <row r="255" s="454" customFormat="1"/>
    <row r="256" s="454" customFormat="1"/>
    <row r="257" s="454" customFormat="1"/>
    <row r="258" s="454" customFormat="1"/>
    <row r="259" s="454" customFormat="1"/>
    <row r="260" s="454" customFormat="1"/>
    <row r="261" s="454" customFormat="1"/>
    <row r="262" s="454" customFormat="1"/>
    <row r="263" s="454" customFormat="1"/>
    <row r="264" s="454" customFormat="1"/>
    <row r="265" s="454" customFormat="1"/>
    <row r="266" s="454" customFormat="1"/>
    <row r="267" s="454" customFormat="1"/>
    <row r="268" s="454" customFormat="1"/>
    <row r="269" s="454" customFormat="1"/>
    <row r="270" s="454" customFormat="1"/>
    <row r="271" s="454" customFormat="1"/>
    <row r="272" s="454" customFormat="1"/>
    <row r="273" s="454" customFormat="1"/>
    <row r="274" s="454" customFormat="1"/>
    <row r="275" s="454" customFormat="1"/>
    <row r="276" s="454" customFormat="1"/>
    <row r="277" s="454" customFormat="1"/>
    <row r="278" s="454" customFormat="1"/>
    <row r="279" s="454" customFormat="1"/>
    <row r="280" s="454" customFormat="1"/>
    <row r="281" s="454" customFormat="1"/>
    <row r="282" s="454" customFormat="1"/>
    <row r="283" s="454" customFormat="1"/>
    <row r="284" s="454" customFormat="1"/>
    <row r="285" s="454" customFormat="1"/>
    <row r="286" s="454" customFormat="1"/>
    <row r="287" s="454" customFormat="1"/>
    <row r="288" s="454" customFormat="1"/>
    <row r="289" s="454" customFormat="1"/>
    <row r="290" s="454" customFormat="1"/>
    <row r="291" s="454" customFormat="1"/>
    <row r="292" s="454" customFormat="1"/>
    <row r="293" s="454" customFormat="1"/>
    <row r="294" s="454" customFormat="1"/>
    <row r="295" s="454" customFormat="1"/>
    <row r="296" s="454" customFormat="1"/>
    <row r="297" s="454" customFormat="1"/>
    <row r="298" s="454" customFormat="1"/>
    <row r="299" s="454" customFormat="1"/>
    <row r="300" s="454" customFormat="1"/>
    <row r="301" s="454" customFormat="1"/>
    <row r="302" s="454" customFormat="1"/>
    <row r="303" s="454" customFormat="1"/>
    <row r="304" s="454" customFormat="1"/>
    <row r="305" s="454" customFormat="1"/>
    <row r="306" s="454" customFormat="1"/>
    <row r="307" s="454" customFormat="1"/>
    <row r="308" s="454" customFormat="1"/>
    <row r="309" s="454" customFormat="1"/>
    <row r="310" s="454" customFormat="1"/>
    <row r="311" s="454" customFormat="1"/>
    <row r="312" s="454" customFormat="1"/>
    <row r="313" s="454" customFormat="1"/>
    <row r="314" s="454" customFormat="1"/>
    <row r="315" s="454" customFormat="1"/>
    <row r="316" s="454" customFormat="1"/>
    <row r="317" s="454" customFormat="1"/>
    <row r="318" s="454" customFormat="1"/>
    <row r="319" s="454" customFormat="1"/>
    <row r="320" s="454" customFormat="1"/>
    <row r="321" s="454" customFormat="1"/>
    <row r="322" s="454" customFormat="1"/>
    <row r="323" s="454" customFormat="1"/>
    <row r="324" s="454" customFormat="1"/>
    <row r="325" s="454" customFormat="1"/>
    <row r="326" s="454" customFormat="1"/>
    <row r="327" s="454" customFormat="1"/>
    <row r="328" s="454" customFormat="1"/>
    <row r="329" s="454" customFormat="1"/>
    <row r="330" s="454" customFormat="1"/>
    <row r="331" s="454" customFormat="1"/>
    <row r="332" s="454" customFormat="1"/>
    <row r="333" s="454" customFormat="1"/>
    <row r="334" s="454" customFormat="1"/>
    <row r="335" s="454" customFormat="1"/>
    <row r="336" s="454" customFormat="1"/>
    <row r="337" s="454" customFormat="1"/>
    <row r="338" s="454" customFormat="1"/>
    <row r="339" s="454" customFormat="1"/>
    <row r="340" s="454" customFormat="1"/>
    <row r="341" s="454" customFormat="1"/>
    <row r="342" s="454" customFormat="1"/>
    <row r="343" s="454" customFormat="1"/>
    <row r="344" s="454" customFormat="1"/>
    <row r="345" s="454" customFormat="1"/>
    <row r="346" s="454" customFormat="1"/>
    <row r="347" s="454" customFormat="1"/>
    <row r="348" s="454" customFormat="1"/>
    <row r="349" s="454" customFormat="1"/>
    <row r="350" s="454" customFormat="1"/>
    <row r="351" s="454" customFormat="1"/>
    <row r="352" s="454" customFormat="1"/>
    <row r="353" s="454" customFormat="1"/>
    <row r="354" s="454" customFormat="1"/>
    <row r="355" s="454" customFormat="1"/>
    <row r="356" s="454" customFormat="1"/>
    <row r="357" s="454" customFormat="1"/>
    <row r="358" s="454" customFormat="1"/>
    <row r="359" s="454" customFormat="1"/>
    <row r="360" s="454" customFormat="1"/>
    <row r="361" s="454" customFormat="1"/>
    <row r="362" s="454" customFormat="1"/>
    <row r="363" s="454" customFormat="1"/>
    <row r="364" s="454" customFormat="1"/>
    <row r="365" s="454" customFormat="1"/>
    <row r="366" s="454" customFormat="1"/>
    <row r="367" s="454" customFormat="1"/>
    <row r="368" s="454" customFormat="1"/>
    <row r="369" s="454" customFormat="1"/>
    <row r="370" s="454" customFormat="1"/>
    <row r="371" s="454" customFormat="1"/>
    <row r="372" s="454" customFormat="1"/>
    <row r="373" s="454" customFormat="1"/>
    <row r="374" s="454" customFormat="1"/>
    <row r="375" s="454" customFormat="1"/>
    <row r="376" s="454" customFormat="1"/>
    <row r="377" s="454" customFormat="1"/>
    <row r="378" s="454" customFormat="1"/>
    <row r="379" s="454" customFormat="1"/>
    <row r="380" s="454" customFormat="1"/>
    <row r="381" s="454" customFormat="1"/>
    <row r="382" s="454" customFormat="1"/>
    <row r="383" s="454" customFormat="1"/>
    <row r="384" s="454" customFormat="1"/>
    <row r="385" s="454" customFormat="1"/>
    <row r="386" s="454" customFormat="1"/>
    <row r="387" s="454" customFormat="1"/>
    <row r="388" s="454" customFormat="1"/>
    <row r="389" s="454" customFormat="1"/>
    <row r="390" s="454" customFormat="1"/>
    <row r="391" s="454" customFormat="1"/>
    <row r="392" s="454" customFormat="1"/>
    <row r="393" s="454" customFormat="1"/>
    <row r="394" s="454" customFormat="1"/>
    <row r="395" s="454" customFormat="1"/>
    <row r="396" s="454" customFormat="1"/>
    <row r="397" s="454" customFormat="1"/>
    <row r="398" s="454" customFormat="1"/>
    <row r="399" s="454" customFormat="1"/>
    <row r="400" s="454" customFormat="1"/>
    <row r="401" s="454" customFormat="1"/>
    <row r="402" s="454" customFormat="1"/>
    <row r="403" s="454" customFormat="1"/>
    <row r="404" s="454" customFormat="1"/>
    <row r="405" s="454" customFormat="1"/>
    <row r="406" s="454" customFormat="1"/>
    <row r="407" s="454" customFormat="1"/>
    <row r="408" s="454" customFormat="1"/>
    <row r="409" s="454" customFormat="1"/>
    <row r="410" s="454" customFormat="1"/>
    <row r="411" s="454" customFormat="1"/>
    <row r="412" s="454" customFormat="1"/>
    <row r="413" s="454" customFormat="1"/>
    <row r="414" s="454" customFormat="1"/>
    <row r="415" s="454" customFormat="1"/>
    <row r="416" s="454" customFormat="1"/>
    <row r="417" s="454" customFormat="1"/>
    <row r="418" s="454" customFormat="1"/>
    <row r="419" s="454" customFormat="1"/>
    <row r="420" s="454" customFormat="1"/>
    <row r="421" s="454" customFormat="1"/>
    <row r="422" s="454" customFormat="1"/>
    <row r="423" s="454" customFormat="1"/>
    <row r="424" s="454" customFormat="1"/>
    <row r="425" s="454" customFormat="1"/>
    <row r="426" s="454" customFormat="1"/>
    <row r="427" s="454" customFormat="1"/>
    <row r="428" s="454" customFormat="1"/>
    <row r="429" s="454" customFormat="1"/>
    <row r="430" s="454" customFormat="1"/>
    <row r="431" s="454" customFormat="1"/>
    <row r="432" s="454" customFormat="1"/>
    <row r="433" s="454" customFormat="1"/>
    <row r="434" s="454" customFormat="1"/>
    <row r="435" s="454" customFormat="1"/>
    <row r="436" s="454" customFormat="1"/>
    <row r="437" s="454" customFormat="1"/>
    <row r="438" s="454" customFormat="1"/>
    <row r="439" s="454" customFormat="1"/>
    <row r="440" s="454" customFormat="1"/>
    <row r="441" s="454" customFormat="1"/>
    <row r="442" s="454" customFormat="1"/>
    <row r="443" s="454" customFormat="1"/>
    <row r="444" s="454" customFormat="1"/>
    <row r="445" s="454" customFormat="1"/>
    <row r="446" s="454" customFormat="1"/>
    <row r="447" s="454" customFormat="1"/>
    <row r="448" s="454" customFormat="1"/>
    <row r="449" s="454" customFormat="1"/>
    <row r="450" s="454" customFormat="1"/>
    <row r="451" s="454" customFormat="1"/>
    <row r="452" s="454" customFormat="1"/>
    <row r="453" s="454" customFormat="1"/>
    <row r="454" s="454" customFormat="1"/>
    <row r="455" s="454" customFormat="1"/>
    <row r="456" s="454" customFormat="1"/>
    <row r="457" s="454" customFormat="1"/>
    <row r="458" s="454" customFormat="1"/>
    <row r="459" s="454" customFormat="1"/>
    <row r="460" s="454" customFormat="1"/>
    <row r="461" s="454" customFormat="1"/>
    <row r="462" s="454" customFormat="1"/>
    <row r="463" s="454" customFormat="1"/>
    <row r="464" s="454" customFormat="1"/>
    <row r="465" s="454" customFormat="1"/>
    <row r="466" s="454" customFormat="1"/>
    <row r="467" s="454" customFormat="1"/>
    <row r="468" s="454" customFormat="1"/>
    <row r="469" s="454" customFormat="1"/>
    <row r="470" s="454" customFormat="1"/>
    <row r="471" s="454" customFormat="1"/>
    <row r="472" s="454" customFormat="1"/>
    <row r="473" s="454" customFormat="1"/>
    <row r="474" s="454" customFormat="1"/>
    <row r="475" s="454" customFormat="1"/>
    <row r="476" s="454" customFormat="1"/>
    <row r="477" s="454" customFormat="1"/>
    <row r="478" s="454" customFormat="1"/>
    <row r="479" s="454" customFormat="1"/>
    <row r="480" s="454" customFormat="1"/>
    <row r="481" s="454" customFormat="1"/>
    <row r="482" s="454" customFormat="1"/>
    <row r="483" s="454" customFormat="1"/>
    <row r="484" s="454" customFormat="1"/>
    <row r="485" s="454" customFormat="1"/>
    <row r="486" s="454" customFormat="1"/>
    <row r="487" s="454" customFormat="1"/>
    <row r="488" s="454" customFormat="1"/>
    <row r="489" s="454" customFormat="1"/>
    <row r="490" s="454" customFormat="1"/>
    <row r="491" s="454" customFormat="1"/>
    <row r="492" s="454" customFormat="1"/>
    <row r="493" s="454" customFormat="1"/>
    <row r="494" s="454" customFormat="1"/>
    <row r="495" s="454" customFormat="1"/>
    <row r="496" s="454" customFormat="1"/>
    <row r="497" s="454" customFormat="1"/>
    <row r="498" s="454" customFormat="1"/>
    <row r="499" s="454" customFormat="1"/>
    <row r="500" s="454" customFormat="1"/>
    <row r="501" s="454" customFormat="1"/>
    <row r="502" s="454" customFormat="1"/>
    <row r="503" s="454" customFormat="1"/>
    <row r="504" s="454" customFormat="1"/>
    <row r="505" s="454" customFormat="1"/>
    <row r="506" s="454" customFormat="1"/>
    <row r="507" s="454" customFormat="1"/>
    <row r="508" s="454" customFormat="1"/>
    <row r="509" s="454" customFormat="1"/>
    <row r="510" s="454" customFormat="1"/>
    <row r="511" s="454" customFormat="1"/>
    <row r="512" s="454" customFormat="1"/>
    <row r="513" s="454" customFormat="1"/>
    <row r="514" s="454" customFormat="1"/>
    <row r="515" s="454" customFormat="1"/>
    <row r="516" s="454" customFormat="1"/>
    <row r="517" s="454" customFormat="1"/>
    <row r="518" s="454" customFormat="1"/>
    <row r="519" s="454" customFormat="1"/>
    <row r="520" s="454" customFormat="1"/>
    <row r="521" s="454" customFormat="1"/>
    <row r="522" s="454" customFormat="1"/>
    <row r="523" s="454" customFormat="1"/>
    <row r="524" s="454" customFormat="1"/>
    <row r="525" s="454" customFormat="1"/>
    <row r="526" s="454" customFormat="1"/>
    <row r="527" s="454" customFormat="1"/>
    <row r="528" s="454" customFormat="1"/>
    <row r="529" s="454" customFormat="1"/>
    <row r="530" s="454" customFormat="1"/>
    <row r="531" s="454" customFormat="1"/>
    <row r="532" s="454" customFormat="1"/>
    <row r="533" s="454" customFormat="1"/>
    <row r="534" s="454" customFormat="1"/>
    <row r="535" s="454" customFormat="1"/>
    <row r="536" s="454" customFormat="1"/>
    <row r="537" s="454" customFormat="1"/>
    <row r="538" s="454" customFormat="1"/>
    <row r="539" s="454" customFormat="1"/>
    <row r="540" s="454" customFormat="1"/>
    <row r="541" s="454" customFormat="1"/>
    <row r="542" s="454" customFormat="1"/>
    <row r="543" s="454" customFormat="1"/>
    <row r="544" s="454" customFormat="1"/>
    <row r="545" s="454" customFormat="1"/>
    <row r="546" s="454" customFormat="1"/>
    <row r="547" s="454" customFormat="1"/>
    <row r="548" s="454" customFormat="1"/>
    <row r="549" s="454" customFormat="1"/>
    <row r="550" s="454" customFormat="1"/>
    <row r="551" s="454" customFormat="1"/>
    <row r="552" s="454" customFormat="1"/>
    <row r="553" s="454" customFormat="1"/>
    <row r="554" s="454" customFormat="1"/>
    <row r="555" s="454" customFormat="1"/>
    <row r="556" s="454" customFormat="1"/>
    <row r="557" s="454" customFormat="1"/>
    <row r="558" s="454" customFormat="1"/>
    <row r="559" s="454" customFormat="1"/>
    <row r="560" s="454" customFormat="1"/>
    <row r="561" s="454" customFormat="1"/>
    <row r="562" s="454" customFormat="1"/>
    <row r="563" s="454" customFormat="1"/>
    <row r="564" s="454" customFormat="1"/>
    <row r="565" s="454" customFormat="1"/>
    <row r="566" s="454" customFormat="1"/>
    <row r="567" s="454" customFormat="1"/>
    <row r="568" s="454" customFormat="1"/>
    <row r="569" s="454" customFormat="1"/>
    <row r="570" s="454" customFormat="1"/>
    <row r="571" s="454" customFormat="1"/>
    <row r="572" s="454" customFormat="1"/>
    <row r="573" s="454" customFormat="1"/>
    <row r="574" s="454" customFormat="1"/>
    <row r="575" s="454" customFormat="1"/>
    <row r="576" s="454" customFormat="1"/>
  </sheetData>
  <sheetProtection algorithmName="SHA-512" hashValue="aKDqn7xl9CRXbX5j3LzgaQsUwRGP/zZT6Wr8JOuoeYacqVl4BgK8sGzXIDKoWBTlYX64Dw6xMzSa/9T6WzPoJA==" saltValue="h4fKlGi06YUdfCxNVJiPNA==" spinCount="100000" sheet="1" pivotTables="0"/>
  <protectedRanges>
    <protectedRange sqref="T12:X12" name="Range27"/>
    <protectedRange sqref="AN4" name="Range1_1"/>
    <protectedRange sqref="H18:R18" name="Range25"/>
    <protectedRange sqref="F7:H7" name="Range23"/>
    <protectedRange sqref="C32:L32" name="Range16_3"/>
    <protectedRange sqref="C29:L31" name="Range16_2"/>
    <protectedRange sqref="C34:L34" name="Range16_1"/>
    <protectedRange sqref="R11:AB11" name="Range18"/>
    <protectedRange sqref="C28:L28 C35:L36 C33:L33" name="Range16"/>
    <protectedRange sqref="C25:J25" name="Range14"/>
    <protectedRange sqref="C22:J23" name="Range12"/>
    <protectedRange sqref="C20:P20" name="Range10"/>
    <protectedRange sqref="H15:Q15" name="Range8"/>
    <protectedRange sqref="C9:I9" name="Range6"/>
    <protectedRange sqref="C3:O5" name="Range1"/>
    <protectedRange sqref="I6:N7 C6:H6" name="Range3"/>
    <protectedRange sqref="C8:L8" name="Range5"/>
    <protectedRange sqref="C10:F15" name="Range7"/>
    <protectedRange sqref="C18:F18" name="Range9"/>
    <protectedRange sqref="C21:N21" name="Range11"/>
    <protectedRange sqref="C24:L24" name="Range13"/>
    <protectedRange sqref="C26:H26" name="Range15"/>
    <protectedRange sqref="Y30" name="Range17"/>
    <protectedRange sqref="M11:W11" name="Range22"/>
    <protectedRange sqref="N39:Y42" name="Range24"/>
    <protectedRange sqref="J10:L10" name="Range26"/>
  </protectedRanges>
  <mergeCells count="147">
    <mergeCell ref="B1:AC1"/>
    <mergeCell ref="B2:AC2"/>
    <mergeCell ref="AA3:AC3"/>
    <mergeCell ref="AA4:AC4"/>
    <mergeCell ref="AP4:AT4"/>
    <mergeCell ref="AU4:AX4"/>
    <mergeCell ref="AY4:BA4"/>
    <mergeCell ref="C5:O5"/>
    <mergeCell ref="P5:U5"/>
    <mergeCell ref="V5:Z5"/>
    <mergeCell ref="AA5:AC5"/>
    <mergeCell ref="P3:Z4"/>
    <mergeCell ref="C3:O4"/>
    <mergeCell ref="AO2:BA3"/>
    <mergeCell ref="C6:N6"/>
    <mergeCell ref="S6:Z6"/>
    <mergeCell ref="AA6:AC6"/>
    <mergeCell ref="C7:E7"/>
    <mergeCell ref="F7:H7"/>
    <mergeCell ref="K7:M7"/>
    <mergeCell ref="N7:R7"/>
    <mergeCell ref="S7:W7"/>
    <mergeCell ref="X7:Z7"/>
    <mergeCell ref="AA7:AC7"/>
    <mergeCell ref="M8:R8"/>
    <mergeCell ref="X8:Z8"/>
    <mergeCell ref="AA8:AC8"/>
    <mergeCell ref="C9:I9"/>
    <mergeCell ref="J9:L9"/>
    <mergeCell ref="M9:Q9"/>
    <mergeCell ref="R9:V9"/>
    <mergeCell ref="C10:F10"/>
    <mergeCell ref="G10:I10"/>
    <mergeCell ref="J10:L10"/>
    <mergeCell ref="C11:F11"/>
    <mergeCell ref="G11:J11"/>
    <mergeCell ref="M11:W11"/>
    <mergeCell ref="Y11:AC11"/>
    <mergeCell ref="C12:F12"/>
    <mergeCell ref="G12:J12"/>
    <mergeCell ref="K12:S12"/>
    <mergeCell ref="T12:X12"/>
    <mergeCell ref="Y12:AC12"/>
    <mergeCell ref="X9:X11"/>
    <mergeCell ref="C13:F13"/>
    <mergeCell ref="G13:L13"/>
    <mergeCell ref="M13:T13"/>
    <mergeCell ref="U13:Z13"/>
    <mergeCell ref="AA13:AC13"/>
    <mergeCell ref="C14:F14"/>
    <mergeCell ref="H14:R14"/>
    <mergeCell ref="U14:Z14"/>
    <mergeCell ref="AA14:AC14"/>
    <mergeCell ref="C15:F15"/>
    <mergeCell ref="H15:Q15"/>
    <mergeCell ref="S15:X15"/>
    <mergeCell ref="Y15:AB15"/>
    <mergeCell ref="C16:F16"/>
    <mergeCell ref="H16:Q16"/>
    <mergeCell ref="Y16:AB16"/>
    <mergeCell ref="C17:F17"/>
    <mergeCell ref="H17:R17"/>
    <mergeCell ref="Y17:AB17"/>
    <mergeCell ref="C18:F18"/>
    <mergeCell ref="H18:R18"/>
    <mergeCell ref="Y18:AB18"/>
    <mergeCell ref="C19:F19"/>
    <mergeCell ref="Y19:AB19"/>
    <mergeCell ref="C20:F20"/>
    <mergeCell ref="G20:P20"/>
    <mergeCell ref="Y20:AB20"/>
    <mergeCell ref="C21:N21"/>
    <mergeCell ref="Y21:AB21"/>
    <mergeCell ref="M28:W28"/>
    <mergeCell ref="X28:AC28"/>
    <mergeCell ref="M30:X30"/>
    <mergeCell ref="Y30:AC30"/>
    <mergeCell ref="C22:J22"/>
    <mergeCell ref="Y22:AB22"/>
    <mergeCell ref="C23:J23"/>
    <mergeCell ref="Y23:AB23"/>
    <mergeCell ref="Y24:AB24"/>
    <mergeCell ref="Y25:AB25"/>
    <mergeCell ref="C26:H26"/>
    <mergeCell ref="Y26:AB26"/>
    <mergeCell ref="F39:M39"/>
    <mergeCell ref="N39:R39"/>
    <mergeCell ref="T39:Y39"/>
    <mergeCell ref="F40:M40"/>
    <mergeCell ref="N40:R40"/>
    <mergeCell ref="T40:Y40"/>
    <mergeCell ref="F41:M41"/>
    <mergeCell ref="N41:R41"/>
    <mergeCell ref="T41:Y41"/>
    <mergeCell ref="C42:E42"/>
    <mergeCell ref="F42:M42"/>
    <mergeCell ref="N42:R42"/>
    <mergeCell ref="T42:Y42"/>
    <mergeCell ref="N43:R43"/>
    <mergeCell ref="T43:Y43"/>
    <mergeCell ref="AI44:AK44"/>
    <mergeCell ref="B45:I45"/>
    <mergeCell ref="T45:AC45"/>
    <mergeCell ref="B46:I46"/>
    <mergeCell ref="T46:AC46"/>
    <mergeCell ref="B47:I47"/>
    <mergeCell ref="T47:AC47"/>
    <mergeCell ref="B48:I48"/>
    <mergeCell ref="T48:AC48"/>
    <mergeCell ref="B49:I49"/>
    <mergeCell ref="T49:AC49"/>
    <mergeCell ref="B50:AC50"/>
    <mergeCell ref="C29:L31"/>
    <mergeCell ref="Y9:AC10"/>
    <mergeCell ref="BD13:BM14"/>
    <mergeCell ref="BN13:BW14"/>
    <mergeCell ref="BJ34:BW36"/>
    <mergeCell ref="BC34:BG36"/>
    <mergeCell ref="BD23:BW24"/>
    <mergeCell ref="BC28:BW29"/>
    <mergeCell ref="BC30:BW31"/>
    <mergeCell ref="BC32:BG33"/>
    <mergeCell ref="T31:AC31"/>
    <mergeCell ref="C32:L32"/>
    <mergeCell ref="T32:AC32"/>
    <mergeCell ref="C33:L33"/>
    <mergeCell ref="T33:AC33"/>
    <mergeCell ref="C35:L35"/>
    <mergeCell ref="W35:AB35"/>
    <mergeCell ref="C36:L36"/>
    <mergeCell ref="W36:AB36"/>
    <mergeCell ref="C27:G27"/>
    <mergeCell ref="H27:L27"/>
    <mergeCell ref="Y27:AB27"/>
    <mergeCell ref="C28:G28"/>
    <mergeCell ref="H28:L28"/>
    <mergeCell ref="BD4:BO5"/>
    <mergeCell ref="BP4:BW5"/>
    <mergeCell ref="BD10:BL11"/>
    <mergeCell ref="BN10:BW11"/>
    <mergeCell ref="BD18:BW19"/>
    <mergeCell ref="BD16:BW17"/>
    <mergeCell ref="BD20:BW21"/>
    <mergeCell ref="BH32:BW33"/>
    <mergeCell ref="BD7:BW8"/>
    <mergeCell ref="BD25:BW25"/>
    <mergeCell ref="BD26:BW26"/>
  </mergeCells>
  <dataValidations count="4">
    <dataValidation type="list" allowBlank="1" showInputMessage="1" showErrorMessage="1" sqref="AA13:AC13" xr:uid="{00000000-0002-0000-0100-000000000000}">
      <formula1>"0,250,450,650,1000"</formula1>
    </dataValidation>
    <dataValidation type="list" allowBlank="1" showInputMessage="1" showErrorMessage="1" sqref="AA14:AC14" xr:uid="{00000000-0002-0000-0100-000001000000}">
      <formula1>"0,1000,1300"</formula1>
    </dataValidation>
    <dataValidation type="list" allowBlank="1" showInputMessage="1" showErrorMessage="1" sqref="H18:R18" xr:uid="{00000000-0002-0000-0100-000002000000}">
      <formula1>"0,1800,2050,2100,2200,2350,2500,2550,2650,2850,2950,3100,3550,3600,3850,4250,4500,4800,5350,5400,5450,5650,5750,6350,6400,6750,6800,7000,7900,8000,8150,9500,12000 "</formula1>
    </dataValidation>
    <dataValidation type="list" allowBlank="1" showInputMessage="1" showErrorMessage="1" sqref="Y30:AC30" xr:uid="{00000000-0002-0000-0100-000003000000}">
      <formula1>"DDO,Principal,Dyeo,Beo,Ceo,Deo Elementary,Scert,DIRECTOR SECONDARY,SECRETARY EDUCATION BOARD,District Minorty Welfare,Treasury"</formula1>
    </dataValidation>
  </dataValidations>
  <hyperlinks>
    <hyperlink ref="BN10:BW11" location="'Income Tax Ass New.'!Print_Area" display="Income Tax Ass. New" xr:uid="{00000000-0004-0000-0100-000000000000}"/>
    <hyperlink ref="BN13:BW14" location="'FORM16 New'!Print_Area" display="FORM16 New" xr:uid="{00000000-0004-0000-0100-000001000000}"/>
    <hyperlink ref="BD10:BL11" location="'Income Tax Ass Old'!Print_Area" display="Income Tax Ass old " xr:uid="{00000000-0004-0000-0100-000002000000}"/>
    <hyperlink ref="BD7:BW8" location="'7th PAY MATRIX TABLE'!Print_Area" display="7th PAY MATRIX TABLE" xr:uid="{00000000-0004-0000-0100-000003000000}"/>
    <hyperlink ref="BD13:BL14" location="'Income Tax Ass. (old)'!Print_Area" display="FORM16 Old" xr:uid="{00000000-0004-0000-0100-000004000000}"/>
    <hyperlink ref="BD13:BM14" location="'FORM16 old'!Print_Area" display="FORM16 Old" xr:uid="{00000000-0004-0000-0100-000005000000}"/>
    <hyperlink ref="BD23:BW24" r:id="rId1" display="FEEDBACK" xr:uid="{00000000-0004-0000-0100-000006000000}"/>
    <hyperlink ref="BD16:BW17" r:id="rId2" display="EMOU WEBSITE" xr:uid="{00000000-0004-0000-0100-000007000000}"/>
    <hyperlink ref="BD20:BW21" r:id="rId3" display="Salary Annual Statement Check" xr:uid="{00000000-0004-0000-0100-000008000000}"/>
    <hyperlink ref="BJ2" location="'Information '!A1" display="Information Page" xr:uid="{00000000-0004-0000-0100-000009000000}"/>
    <hyperlink ref="BP4:BW5" location="'Details of Deductions'!A1" display="Details of Deductions" xr:uid="{00000000-0004-0000-0100-00000A000000}"/>
    <hyperlink ref="BD4:BO5" location="'Salary Details'!A1" display="Salary Details" xr:uid="{00000000-0004-0000-0100-00000B000000}"/>
  </hyperlinks>
  <pageMargins left="0.25" right="0" top="0.25" bottom="1" header="0.5" footer="0.5"/>
  <pageSetup scale="53" orientation="portrait" horizontalDpi="180" verticalDpi="180" r:id="rId4"/>
  <headerFooter alignWithMargins="0"/>
  <drawing r:id="rId5"/>
  <legacy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K32"/>
  <sheetViews>
    <sheetView showGridLines="0" view="pageBreakPreview" zoomScale="95" zoomScaleNormal="100" workbookViewId="0">
      <selection activeCell="H2" sqref="H2:K3"/>
    </sheetView>
  </sheetViews>
  <sheetFormatPr defaultColWidth="9" defaultRowHeight="12.75"/>
  <cols>
    <col min="1" max="1" width="39.5703125" customWidth="1"/>
    <col min="2" max="2" width="20.7109375" customWidth="1"/>
    <col min="3" max="3" width="4.140625" customWidth="1"/>
    <col min="4" max="4" width="65.42578125" customWidth="1"/>
    <col min="5" max="5" width="16.140625" customWidth="1"/>
    <col min="6" max="6" width="19.140625" customWidth="1"/>
    <col min="7" max="7" width="9" hidden="1" customWidth="1"/>
  </cols>
  <sheetData>
    <row r="1" spans="1:11" ht="26.25">
      <c r="A1" s="1064" t="s">
        <v>180</v>
      </c>
      <c r="B1" s="1064"/>
      <c r="C1" s="1064"/>
      <c r="D1" s="1064"/>
      <c r="E1" s="1064"/>
      <c r="F1" s="1064"/>
    </row>
    <row r="2" spans="1:11" ht="20.25" customHeight="1">
      <c r="A2" s="1065" t="str">
        <f>'Personal Information'!B97&amp;" ,   "&amp;'Personal Information'!B98</f>
        <v>VIKAS ,</v>
      </c>
      <c r="B2" s="1065"/>
      <c r="C2" s="1065"/>
      <c r="D2" s="1065"/>
      <c r="E2" s="1065"/>
      <c r="F2" s="1065"/>
      <c r="H2" s="1063" t="s">
        <v>181</v>
      </c>
      <c r="I2" s="1063"/>
      <c r="J2" s="1063"/>
      <c r="K2" s="1063"/>
    </row>
    <row r="3" spans="1:11" ht="15.75" customHeight="1">
      <c r="A3" s="420" t="s">
        <v>182</v>
      </c>
      <c r="B3" s="421">
        <f>'Salary Details'!J27</f>
        <v>42600</v>
      </c>
      <c r="C3" s="422">
        <v>19</v>
      </c>
      <c r="D3" s="423" t="s">
        <v>183</v>
      </c>
      <c r="E3" s="424">
        <v>0</v>
      </c>
      <c r="F3" s="425" t="s">
        <v>184</v>
      </c>
      <c r="H3" s="1063"/>
      <c r="I3" s="1063"/>
      <c r="J3" s="1063"/>
      <c r="K3" s="1063"/>
    </row>
    <row r="4" spans="1:11" ht="15.75">
      <c r="A4" s="426" t="s">
        <v>185</v>
      </c>
      <c r="B4" s="427">
        <v>0</v>
      </c>
      <c r="C4" s="428">
        <v>20</v>
      </c>
      <c r="D4" s="429" t="s">
        <v>186</v>
      </c>
      <c r="E4" s="430">
        <v>0</v>
      </c>
      <c r="F4" s="425">
        <f>'Income Tax Ass Old'!I6+'Income Tax Ass Old'!I8</f>
        <v>651474</v>
      </c>
    </row>
    <row r="5" spans="1:11" ht="15.75">
      <c r="A5" s="420" t="s">
        <v>187</v>
      </c>
      <c r="B5" s="421">
        <v>0</v>
      </c>
      <c r="C5" s="422">
        <v>21</v>
      </c>
      <c r="D5" s="423" t="s">
        <v>188</v>
      </c>
      <c r="E5" s="424">
        <v>0</v>
      </c>
      <c r="F5" s="431" t="s">
        <v>189</v>
      </c>
    </row>
    <row r="6" spans="1:11" ht="15.75">
      <c r="A6" s="432" t="s">
        <v>190</v>
      </c>
      <c r="B6" s="427">
        <v>0</v>
      </c>
      <c r="C6" s="428">
        <v>22</v>
      </c>
      <c r="D6" s="429" t="s">
        <v>191</v>
      </c>
      <c r="E6" s="433">
        <f>'Income Tax Ass Old'!I43</f>
        <v>64456</v>
      </c>
      <c r="F6" s="431">
        <f>'Income Tax Ass Old'!I58</f>
        <v>578778</v>
      </c>
    </row>
    <row r="7" spans="1:11" ht="15.75">
      <c r="A7" s="420" t="s">
        <v>192</v>
      </c>
      <c r="B7" s="421">
        <v>0</v>
      </c>
      <c r="C7" s="422">
        <v>23</v>
      </c>
      <c r="D7" s="434" t="s">
        <v>193</v>
      </c>
      <c r="E7" s="435">
        <f>'Income Tax Ass Old'!I48</f>
        <v>0</v>
      </c>
      <c r="F7" s="436"/>
    </row>
    <row r="8" spans="1:11" ht="15.75">
      <c r="A8" s="437" t="s">
        <v>194</v>
      </c>
      <c r="B8" s="438">
        <v>0</v>
      </c>
      <c r="C8" s="428">
        <v>24</v>
      </c>
      <c r="D8" s="429" t="s">
        <v>195</v>
      </c>
      <c r="E8" s="439">
        <v>0</v>
      </c>
      <c r="F8" s="440"/>
    </row>
    <row r="9" spans="1:11" ht="15.75">
      <c r="A9" s="420" t="s">
        <v>196</v>
      </c>
      <c r="B9" s="421">
        <v>0</v>
      </c>
      <c r="C9" s="422">
        <v>25</v>
      </c>
      <c r="D9" s="423" t="s">
        <v>197</v>
      </c>
      <c r="E9" s="424">
        <v>0</v>
      </c>
      <c r="F9" s="1070" t="s">
        <v>198</v>
      </c>
    </row>
    <row r="10" spans="1:11" ht="15.75">
      <c r="A10" s="437" t="s">
        <v>199</v>
      </c>
      <c r="B10" s="438">
        <v>0</v>
      </c>
      <c r="C10" s="428">
        <v>26</v>
      </c>
      <c r="D10" s="441" t="s">
        <v>200</v>
      </c>
      <c r="E10" s="439">
        <v>0</v>
      </c>
      <c r="F10" s="1070"/>
    </row>
    <row r="11" spans="1:11" ht="15.75">
      <c r="A11" s="420" t="s">
        <v>201</v>
      </c>
      <c r="B11" s="421">
        <v>0</v>
      </c>
      <c r="C11" s="422">
        <v>27</v>
      </c>
      <c r="D11" s="423" t="s">
        <v>202</v>
      </c>
      <c r="E11" s="424">
        <v>0</v>
      </c>
      <c r="F11" s="1070"/>
    </row>
    <row r="12" spans="1:11" ht="15.75">
      <c r="A12" s="437" t="s">
        <v>203</v>
      </c>
      <c r="B12" s="438">
        <v>0</v>
      </c>
      <c r="C12" s="428">
        <v>28</v>
      </c>
      <c r="D12" s="441" t="s">
        <v>204</v>
      </c>
      <c r="E12" s="439"/>
      <c r="F12" s="431">
        <f>'Income Tax Ass Old'!I45+'Income Tax Ass Old'!I48+'Income Tax Ass Old'!I49</f>
        <v>158896</v>
      </c>
    </row>
    <row r="13" spans="1:11" ht="15.75">
      <c r="A13" s="420" t="s">
        <v>205</v>
      </c>
      <c r="B13" s="421">
        <v>0</v>
      </c>
      <c r="C13" s="422">
        <v>29</v>
      </c>
      <c r="D13" s="423" t="s">
        <v>206</v>
      </c>
      <c r="E13" s="424">
        <v>0</v>
      </c>
      <c r="F13" s="431"/>
    </row>
    <row r="14" spans="1:11" ht="15.75">
      <c r="A14" s="437" t="s">
        <v>207</v>
      </c>
      <c r="B14" s="438">
        <v>0</v>
      </c>
      <c r="C14" s="428">
        <v>30</v>
      </c>
      <c r="D14" s="442" t="s">
        <v>208</v>
      </c>
      <c r="E14" s="439">
        <v>0</v>
      </c>
      <c r="F14" s="1071" t="s">
        <v>209</v>
      </c>
    </row>
    <row r="15" spans="1:11" ht="15.75">
      <c r="A15" s="420" t="s">
        <v>210</v>
      </c>
      <c r="B15" s="421">
        <v>0</v>
      </c>
      <c r="C15" s="422">
        <v>31</v>
      </c>
      <c r="D15" s="423" t="s">
        <v>211</v>
      </c>
      <c r="E15" s="424">
        <v>0</v>
      </c>
      <c r="F15" s="1071"/>
    </row>
    <row r="16" spans="1:11" ht="15.75">
      <c r="A16" s="437" t="s">
        <v>212</v>
      </c>
      <c r="B16" s="438">
        <v>0</v>
      </c>
      <c r="C16" s="428">
        <v>32</v>
      </c>
      <c r="D16" s="441" t="s">
        <v>213</v>
      </c>
      <c r="E16" s="439">
        <v>0</v>
      </c>
      <c r="F16" s="1071"/>
    </row>
    <row r="17" spans="1:6" ht="15.75">
      <c r="A17" s="420" t="s">
        <v>214</v>
      </c>
      <c r="B17" s="421">
        <v>0</v>
      </c>
      <c r="C17" s="422">
        <v>33</v>
      </c>
      <c r="D17" s="423" t="s">
        <v>215</v>
      </c>
      <c r="E17" s="424">
        <v>0</v>
      </c>
      <c r="F17" s="1072">
        <f>IF(B3&gt;=1,(F4*10%+B3),0)</f>
        <v>107747.4</v>
      </c>
    </row>
    <row r="18" spans="1:6" ht="15.75">
      <c r="A18" s="437" t="s">
        <v>216</v>
      </c>
      <c r="B18" s="438">
        <v>0</v>
      </c>
      <c r="C18" s="428">
        <v>34</v>
      </c>
      <c r="D18" s="441" t="s">
        <v>217</v>
      </c>
      <c r="E18" s="439">
        <v>0</v>
      </c>
      <c r="F18" s="1072"/>
    </row>
    <row r="19" spans="1:6" ht="15.75">
      <c r="A19" s="420" t="s">
        <v>218</v>
      </c>
      <c r="B19" s="435">
        <f>'Income Tax Ass Old'!I17</f>
        <v>0</v>
      </c>
      <c r="C19" s="422">
        <v>35</v>
      </c>
      <c r="D19" s="444" t="str">
        <f>IF([1]Salary!S2="BORDER ALLOWANCE","Border Allowance","Hill Allowance")</f>
        <v>Hill Allowance</v>
      </c>
      <c r="E19" s="445">
        <f>'Salary Details'!I27</f>
        <v>3360</v>
      </c>
      <c r="F19" s="443"/>
    </row>
    <row r="20" spans="1:6" ht="15.75">
      <c r="A20" s="437" t="s">
        <v>219</v>
      </c>
      <c r="B20" s="446">
        <f>'Income Tax Ass Old'!I29</f>
        <v>0</v>
      </c>
      <c r="C20" s="428">
        <v>36</v>
      </c>
      <c r="D20" s="447"/>
      <c r="E20" s="439"/>
      <c r="F20" s="448"/>
    </row>
    <row r="21" spans="1:6" ht="15.75" hidden="1">
      <c r="A21" s="1066"/>
      <c r="B21" s="1066"/>
      <c r="C21" s="449"/>
      <c r="D21" s="450"/>
      <c r="E21" s="451" t="s">
        <v>220</v>
      </c>
      <c r="F21" s="452">
        <f>B3</f>
        <v>42600</v>
      </c>
    </row>
    <row r="22" spans="1:6" ht="14.25" hidden="1" customHeight="1"/>
    <row r="23" spans="1:6" ht="14.25" hidden="1" customHeight="1"/>
    <row r="24" spans="1:6" ht="14.25" hidden="1" customHeight="1">
      <c r="A24" t="s">
        <v>221</v>
      </c>
      <c r="B24" t="s">
        <v>222</v>
      </c>
    </row>
    <row r="25" spans="1:6" ht="33" hidden="1" customHeight="1"/>
    <row r="26" spans="1:6" ht="33" hidden="1" customHeight="1"/>
    <row r="27" spans="1:6" ht="33" hidden="1" customHeight="1">
      <c r="A27" s="279">
        <f>'Income Tax Ass Old'!I72</f>
        <v>7390</v>
      </c>
      <c r="B27" s="279">
        <f>'Income Tax Ass New.'!I67</f>
        <v>0</v>
      </c>
    </row>
    <row r="28" spans="1:6" ht="33" hidden="1" customHeight="1"/>
    <row r="29" spans="1:6" ht="45">
      <c r="A29" s="1067" t="s">
        <v>136</v>
      </c>
      <c r="B29" s="1068"/>
      <c r="C29" s="1068"/>
      <c r="D29" s="1069" t="str">
        <f>IF(A27&lt;B27,"OLD REGIME",IF(A27&gt;B27,"NEW REGIME"))</f>
        <v>NEW REGIME</v>
      </c>
      <c r="E29" s="1069"/>
      <c r="F29" s="1069"/>
    </row>
    <row r="30" spans="1:6" hidden="1"/>
    <row r="31" spans="1:6" hidden="1"/>
    <row r="32" spans="1:6" ht="27" hidden="1" customHeight="1">
      <c r="D32" t="str">
        <f>D29</f>
        <v>NEW REGIME</v>
      </c>
    </row>
  </sheetData>
  <sheetProtection algorithmName="SHA-512" hashValue="XUZEC5+/hLTwUtp8EI2A0cZ5tRKA0k5gjhXqTJgUPMBF21WdXFCIsBhakpaYX8Hp9wgSC56Hp5zxyGX+nX6haQ==" saltValue="gPItF5x6hgvY4M4SZTW00w==" spinCount="100000" sheet="1" objects="1" scenarios="1"/>
  <mergeCells count="9">
    <mergeCell ref="H2:K3"/>
    <mergeCell ref="A1:F1"/>
    <mergeCell ref="A2:F2"/>
    <mergeCell ref="A21:B21"/>
    <mergeCell ref="A29:C29"/>
    <mergeCell ref="D29:F29"/>
    <mergeCell ref="F9:F11"/>
    <mergeCell ref="F14:F16"/>
    <mergeCell ref="F17:F18"/>
  </mergeCells>
  <conditionalFormatting sqref="A21:E21">
    <cfRule type="expression" dxfId="1" priority="1" stopIfTrue="1">
      <formula>$A$21="Income Tax Refundable"</formula>
    </cfRule>
    <cfRule type="expression" dxfId="0" priority="2" stopIfTrue="1">
      <formula>$A$21="Income Tax Payable"</formula>
    </cfRule>
  </conditionalFormatting>
  <dataValidations count="12">
    <dataValidation type="whole" operator="lessThanOrEqual" allowBlank="1" showInputMessage="1" showErrorMessage="1" errorTitle="Sorry...!!! Not Allow" error="HRA Rebate Permissible up to Actual HRA Recieved" sqref="B3" xr:uid="{00000000-0002-0000-0200-000000000000}">
      <formula1>F21</formula1>
    </dataValidation>
    <dataValidation type="whole" operator="lessThanOrEqual" allowBlank="1" showInputMessage="1" showErrorMessage="1" errorTitle="Sorry...!!! Not Allow" error="HRA Rebate Permissible up to Actual HRA Recieved" sqref="E3" xr:uid="{00000000-0002-0000-0200-000001000000}">
      <formula1>H18</formula1>
    </dataValidation>
    <dataValidation type="whole" operator="lessThan" allowBlank="1" showInputMessage="1" showErrorMessage="1" error="max 5000 allowed" sqref="B4" xr:uid="{00000000-0002-0000-0200-000002000000}">
      <formula1>5001</formula1>
    </dataValidation>
    <dataValidation type="whole" operator="lessThanOrEqual" allowBlank="1" showInputMessage="1" showErrorMessage="1" errorTitle="Sorry...!!! Not Allow" error="HRA Rebate Permissible up to Actual HRA Recieved" sqref="C7" xr:uid="{00000000-0002-0000-0200-000003000000}">
      <formula1>#REF!</formula1>
    </dataValidation>
    <dataValidation type="whole" operator="lessThan" allowBlank="1" showInputMessage="1" showErrorMessage="1" error="max 50000 allowed" sqref="E7" xr:uid="{00000000-0002-0000-0200-000004000000}">
      <formula1>50001</formula1>
    </dataValidation>
    <dataValidation type="whole" operator="lessThan" allowBlank="1" showInputMessage="1" showErrorMessage="1" error="max 25000 for senior citizen max 50000" sqref="E8" xr:uid="{00000000-0002-0000-0200-000005000000}">
      <formula1>50001</formula1>
    </dataValidation>
    <dataValidation type="whole" operator="lessThan" allowBlank="1" showInputMessage="1" showErrorMessage="1" error="Maximum 2 lakh allowed " sqref="B9" xr:uid="{00000000-0002-0000-0200-000006000000}">
      <formula1>200001</formula1>
    </dataValidation>
    <dataValidation type="whole" operator="lessThan" allowBlank="1" showInputMessage="1" showErrorMessage="1" sqref="E14" xr:uid="{00000000-0002-0000-0200-000007000000}">
      <formula1>10001</formula1>
    </dataValidation>
    <dataValidation type="whole" operator="lessThanOrEqual" allowBlank="1" showInputMessage="1" showErrorMessage="1" errorTitle="Sorry...!!! Not Allow" error="HRA Rebate Permissible up to Actual HRA Recieved" sqref="C3:C6" xr:uid="{00000000-0002-0000-0200-000008000000}">
      <formula1>G18</formula1>
    </dataValidation>
    <dataValidation type="whole" operator="lessThanOrEqual" allowBlank="1" showInputMessage="1" showErrorMessage="1" errorTitle="Sorry...!!! Not Allow" error="HRA Rebate Permissible up to Actual HRA Recieved" sqref="C8:C10" xr:uid="{00000000-0002-0000-0200-000009000000}">
      <formula1>G22</formula1>
    </dataValidation>
    <dataValidation type="whole" operator="lessThanOrEqual" allowBlank="1" showInputMessage="1" showErrorMessage="1" errorTitle="Sorry...!!! Not Allow" error="HRA Rebate Permissible up to Actual HRA Recieved" sqref="C11:C14" xr:uid="{00000000-0002-0000-0200-00000A000000}">
      <formula1>G27</formula1>
    </dataValidation>
    <dataValidation type="whole" operator="lessThanOrEqual" allowBlank="1" showInputMessage="1" showErrorMessage="1" errorTitle="Sorry...!!! Not Allow" error="HRA Rebate Permissible up to Actual HRA Recieved" sqref="C15:C20" xr:uid="{00000000-0002-0000-0200-00000B000000}">
      <formula1>G32</formula1>
    </dataValidation>
  </dataValidations>
  <hyperlinks>
    <hyperlink ref="H2:J3" location="'Personal Information'!A1" display="Back to Home Page" xr:uid="{00000000-0004-0000-0200-000000000000}"/>
  </hyperlinks>
  <pageMargins left="0.7" right="0.7" top="0.75" bottom="0.75" header="0.3" footer="0.3"/>
  <pageSetup scale="5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00B0F0"/>
  </sheetPr>
  <dimension ref="A1:P23"/>
  <sheetViews>
    <sheetView view="pageBreakPreview" zoomScale="136" zoomScaleNormal="100" workbookViewId="0">
      <selection activeCell="N2" sqref="N2:P3"/>
    </sheetView>
  </sheetViews>
  <sheetFormatPr defaultColWidth="9" defaultRowHeight="12.75"/>
  <cols>
    <col min="1" max="1" width="13.7109375" customWidth="1"/>
    <col min="16" max="16" width="14.5703125" customWidth="1"/>
  </cols>
  <sheetData>
    <row r="1" spans="1:16">
      <c r="A1" s="1059" t="s">
        <v>9</v>
      </c>
      <c r="B1" s="1060"/>
      <c r="C1" s="1060"/>
      <c r="D1" s="1060"/>
      <c r="E1" s="1060"/>
      <c r="F1" s="1060"/>
      <c r="G1" s="1060"/>
      <c r="H1" s="1060"/>
      <c r="I1" s="1060"/>
      <c r="J1" s="1060"/>
      <c r="K1" s="1060"/>
      <c r="L1" s="1060"/>
      <c r="M1" s="1076"/>
    </row>
    <row r="2" spans="1:16">
      <c r="A2" s="1061"/>
      <c r="B2" s="1062"/>
      <c r="C2" s="1062"/>
      <c r="D2" s="1062"/>
      <c r="E2" s="1062"/>
      <c r="F2" s="1062"/>
      <c r="G2" s="1062"/>
      <c r="H2" s="1062"/>
      <c r="I2" s="1062"/>
      <c r="J2" s="1062"/>
      <c r="K2" s="1062"/>
      <c r="L2" s="1062"/>
      <c r="M2" s="1077"/>
      <c r="N2" s="1074" t="s">
        <v>181</v>
      </c>
      <c r="O2" s="1075"/>
      <c r="P2" s="1075"/>
    </row>
    <row r="3" spans="1:16" ht="23.25" customHeight="1">
      <c r="A3" s="362" t="s">
        <v>14</v>
      </c>
      <c r="B3" s="1035" t="s">
        <v>15</v>
      </c>
      <c r="C3" s="1036"/>
      <c r="D3" s="1036"/>
      <c r="E3" s="1036"/>
      <c r="F3" s="1037"/>
      <c r="G3" s="1038" t="s">
        <v>16</v>
      </c>
      <c r="H3" s="1039"/>
      <c r="I3" s="1039"/>
      <c r="J3" s="1040"/>
      <c r="K3" s="817" t="s">
        <v>10</v>
      </c>
      <c r="L3" s="818"/>
      <c r="M3" s="1073"/>
      <c r="N3" s="1074"/>
      <c r="O3" s="1075"/>
      <c r="P3" s="1075"/>
    </row>
    <row r="4" spans="1:16" ht="15">
      <c r="A4" s="365" t="s">
        <v>19</v>
      </c>
      <c r="B4" s="366">
        <v>1800</v>
      </c>
      <c r="C4" s="367">
        <v>1900</v>
      </c>
      <c r="D4" s="367">
        <v>2000</v>
      </c>
      <c r="E4" s="368">
        <v>2400</v>
      </c>
      <c r="F4" s="369">
        <v>2800</v>
      </c>
      <c r="G4" s="370">
        <v>4200</v>
      </c>
      <c r="H4" s="371">
        <v>4600</v>
      </c>
      <c r="I4" s="371">
        <v>4800</v>
      </c>
      <c r="J4" s="399">
        <v>5400</v>
      </c>
      <c r="K4" s="400">
        <v>5400</v>
      </c>
      <c r="L4" s="401">
        <v>6600</v>
      </c>
      <c r="M4" s="402">
        <v>7600</v>
      </c>
    </row>
    <row r="5" spans="1:16" ht="15">
      <c r="A5" s="372" t="s">
        <v>21</v>
      </c>
      <c r="B5" s="373">
        <v>1</v>
      </c>
      <c r="C5" s="374">
        <v>2</v>
      </c>
      <c r="D5" s="374">
        <v>3</v>
      </c>
      <c r="E5" s="374">
        <v>4</v>
      </c>
      <c r="F5" s="375">
        <v>5</v>
      </c>
      <c r="G5" s="376">
        <v>6</v>
      </c>
      <c r="H5" s="377">
        <v>7</v>
      </c>
      <c r="I5" s="377">
        <v>8</v>
      </c>
      <c r="J5" s="403">
        <v>9</v>
      </c>
      <c r="K5" s="404">
        <v>10</v>
      </c>
      <c r="L5" s="405">
        <v>11</v>
      </c>
      <c r="M5" s="406">
        <v>12</v>
      </c>
    </row>
    <row r="6" spans="1:16" ht="15">
      <c r="A6" s="378">
        <v>1</v>
      </c>
      <c r="B6" s="379">
        <v>18000</v>
      </c>
      <c r="C6" s="380">
        <v>19900</v>
      </c>
      <c r="D6" s="380">
        <v>21700</v>
      </c>
      <c r="E6" s="380">
        <v>25500</v>
      </c>
      <c r="F6" s="381">
        <v>29200</v>
      </c>
      <c r="G6" s="382">
        <v>35400</v>
      </c>
      <c r="H6" s="383">
        <v>44900</v>
      </c>
      <c r="I6" s="383">
        <v>47600</v>
      </c>
      <c r="J6" s="407">
        <v>53100</v>
      </c>
      <c r="K6" s="408">
        <v>56100</v>
      </c>
      <c r="L6" s="409">
        <v>67700</v>
      </c>
      <c r="M6" s="410">
        <v>78800</v>
      </c>
    </row>
    <row r="7" spans="1:16" ht="15">
      <c r="A7" s="384">
        <v>2</v>
      </c>
      <c r="B7" s="385">
        <v>18500</v>
      </c>
      <c r="C7" s="386">
        <v>20500</v>
      </c>
      <c r="D7" s="386">
        <v>22400</v>
      </c>
      <c r="E7" s="386">
        <v>26300</v>
      </c>
      <c r="F7" s="387">
        <v>30100</v>
      </c>
      <c r="G7" s="388">
        <v>36500</v>
      </c>
      <c r="H7" s="389">
        <v>46200</v>
      </c>
      <c r="I7" s="389">
        <v>49000</v>
      </c>
      <c r="J7" s="411">
        <v>54700</v>
      </c>
      <c r="K7" s="412">
        <v>57800</v>
      </c>
      <c r="L7" s="413">
        <v>69700</v>
      </c>
      <c r="M7" s="414">
        <v>81200</v>
      </c>
    </row>
    <row r="8" spans="1:16" ht="15">
      <c r="A8" s="384">
        <v>3</v>
      </c>
      <c r="B8" s="385">
        <v>19100</v>
      </c>
      <c r="C8" s="386">
        <v>21100</v>
      </c>
      <c r="D8" s="386">
        <v>23100</v>
      </c>
      <c r="E8" s="386">
        <v>27100</v>
      </c>
      <c r="F8" s="387">
        <v>31000</v>
      </c>
      <c r="G8" s="388">
        <v>37600</v>
      </c>
      <c r="H8" s="389">
        <v>47600</v>
      </c>
      <c r="I8" s="389">
        <v>50500</v>
      </c>
      <c r="J8" s="411">
        <v>56300</v>
      </c>
      <c r="K8" s="412">
        <v>59500</v>
      </c>
      <c r="L8" s="413">
        <v>71800</v>
      </c>
      <c r="M8" s="414">
        <v>83600</v>
      </c>
    </row>
    <row r="9" spans="1:16" ht="15">
      <c r="A9" s="384">
        <v>4</v>
      </c>
      <c r="B9" s="385">
        <v>19700</v>
      </c>
      <c r="C9" s="386">
        <v>21700</v>
      </c>
      <c r="D9" s="386">
        <v>23800</v>
      </c>
      <c r="E9" s="386">
        <v>27900</v>
      </c>
      <c r="F9" s="387">
        <v>31900</v>
      </c>
      <c r="G9" s="388">
        <v>38700</v>
      </c>
      <c r="H9" s="389">
        <v>49000</v>
      </c>
      <c r="I9" s="389">
        <v>52000</v>
      </c>
      <c r="J9" s="411">
        <v>58000</v>
      </c>
      <c r="K9" s="412">
        <v>61300</v>
      </c>
      <c r="L9" s="413">
        <v>74000</v>
      </c>
      <c r="M9" s="414">
        <v>86100</v>
      </c>
    </row>
    <row r="10" spans="1:16" ht="15">
      <c r="A10" s="384">
        <v>5</v>
      </c>
      <c r="B10" s="385">
        <v>20300</v>
      </c>
      <c r="C10" s="386">
        <v>22400</v>
      </c>
      <c r="D10" s="386">
        <v>24500</v>
      </c>
      <c r="E10" s="386">
        <v>28700</v>
      </c>
      <c r="F10" s="387">
        <v>32900</v>
      </c>
      <c r="G10" s="388">
        <v>39900</v>
      </c>
      <c r="H10" s="389">
        <v>50500</v>
      </c>
      <c r="I10" s="389">
        <v>53600</v>
      </c>
      <c r="J10" s="411">
        <v>59700</v>
      </c>
      <c r="K10" s="412">
        <v>63100</v>
      </c>
      <c r="L10" s="413">
        <v>76200</v>
      </c>
      <c r="M10" s="414">
        <v>88700</v>
      </c>
    </row>
    <row r="11" spans="1:16" ht="15">
      <c r="A11" s="384">
        <v>6</v>
      </c>
      <c r="B11" s="385">
        <v>20900</v>
      </c>
      <c r="C11" s="386">
        <v>23100</v>
      </c>
      <c r="D11" s="386">
        <v>25200</v>
      </c>
      <c r="E11" s="386">
        <v>29600</v>
      </c>
      <c r="F11" s="387">
        <v>33900</v>
      </c>
      <c r="G11" s="388">
        <v>41100</v>
      </c>
      <c r="H11" s="389">
        <v>52000</v>
      </c>
      <c r="I11" s="389">
        <v>55200</v>
      </c>
      <c r="J11" s="411">
        <v>61500</v>
      </c>
      <c r="K11" s="412">
        <v>65000</v>
      </c>
      <c r="L11" s="413">
        <v>78500</v>
      </c>
      <c r="M11" s="414">
        <v>91400</v>
      </c>
    </row>
    <row r="12" spans="1:16" ht="15">
      <c r="A12" s="384">
        <v>7</v>
      </c>
      <c r="B12" s="385">
        <v>21500</v>
      </c>
      <c r="C12" s="386">
        <v>23800</v>
      </c>
      <c r="D12" s="386">
        <v>26000</v>
      </c>
      <c r="E12" s="386">
        <v>30500</v>
      </c>
      <c r="F12" s="387">
        <v>34900</v>
      </c>
      <c r="G12" s="388">
        <v>42300</v>
      </c>
      <c r="H12" s="389">
        <v>53600</v>
      </c>
      <c r="I12" s="389">
        <v>56900</v>
      </c>
      <c r="J12" s="411">
        <v>63300</v>
      </c>
      <c r="K12" s="412">
        <v>67000</v>
      </c>
      <c r="L12" s="413">
        <v>80900</v>
      </c>
      <c r="M12" s="414">
        <v>94100</v>
      </c>
    </row>
    <row r="13" spans="1:16" ht="15">
      <c r="A13" s="384">
        <v>8</v>
      </c>
      <c r="B13" s="385">
        <v>22100</v>
      </c>
      <c r="C13" s="386">
        <v>24500</v>
      </c>
      <c r="D13" s="386">
        <v>26800</v>
      </c>
      <c r="E13" s="386">
        <v>31400</v>
      </c>
      <c r="F13" s="387">
        <v>35900</v>
      </c>
      <c r="G13" s="388">
        <v>43600</v>
      </c>
      <c r="H13" s="389">
        <v>55200</v>
      </c>
      <c r="I13" s="389">
        <v>58600</v>
      </c>
      <c r="J13" s="411">
        <v>65200</v>
      </c>
      <c r="K13" s="412">
        <v>69000</v>
      </c>
      <c r="L13" s="413">
        <v>83300</v>
      </c>
      <c r="M13" s="414">
        <v>96900</v>
      </c>
    </row>
    <row r="14" spans="1:16" ht="15">
      <c r="A14" s="384">
        <v>9</v>
      </c>
      <c r="B14" s="385">
        <v>22800</v>
      </c>
      <c r="C14" s="386">
        <v>25200</v>
      </c>
      <c r="D14" s="386">
        <v>27600</v>
      </c>
      <c r="E14" s="386">
        <v>32300</v>
      </c>
      <c r="F14" s="387">
        <v>37000</v>
      </c>
      <c r="G14" s="388">
        <v>44900</v>
      </c>
      <c r="H14" s="389">
        <v>56900</v>
      </c>
      <c r="I14" s="389">
        <v>60400</v>
      </c>
      <c r="J14" s="411">
        <v>67200</v>
      </c>
      <c r="K14" s="412">
        <v>71100</v>
      </c>
      <c r="L14" s="413">
        <v>85800</v>
      </c>
      <c r="M14" s="414">
        <v>99800</v>
      </c>
    </row>
    <row r="15" spans="1:16" ht="15">
      <c r="A15" s="384">
        <v>10</v>
      </c>
      <c r="B15" s="385">
        <v>23500</v>
      </c>
      <c r="C15" s="386">
        <v>26000</v>
      </c>
      <c r="D15" s="386">
        <v>28400</v>
      </c>
      <c r="E15" s="386">
        <v>33300</v>
      </c>
      <c r="F15" s="387">
        <v>38100</v>
      </c>
      <c r="G15" s="388">
        <v>46200</v>
      </c>
      <c r="H15" s="389">
        <v>58600</v>
      </c>
      <c r="I15" s="389">
        <v>62200</v>
      </c>
      <c r="J15" s="411">
        <v>69200</v>
      </c>
      <c r="K15" s="412">
        <v>73200</v>
      </c>
      <c r="L15" s="413">
        <v>88400</v>
      </c>
      <c r="M15" s="414">
        <v>102800</v>
      </c>
    </row>
    <row r="16" spans="1:16" ht="15">
      <c r="A16" s="384">
        <v>11</v>
      </c>
      <c r="B16" s="385">
        <v>24200</v>
      </c>
      <c r="C16" s="386">
        <v>26800</v>
      </c>
      <c r="D16" s="386">
        <v>29300</v>
      </c>
      <c r="E16" s="386">
        <v>34300</v>
      </c>
      <c r="F16" s="387">
        <v>39200</v>
      </c>
      <c r="G16" s="388">
        <v>47600</v>
      </c>
      <c r="H16" s="389">
        <v>60400</v>
      </c>
      <c r="I16" s="389">
        <v>64100</v>
      </c>
      <c r="J16" s="411">
        <v>71300</v>
      </c>
      <c r="K16" s="412">
        <v>75400</v>
      </c>
      <c r="L16" s="413">
        <v>91100</v>
      </c>
      <c r="M16" s="414">
        <v>105900</v>
      </c>
    </row>
    <row r="17" spans="1:13" ht="15">
      <c r="A17" s="384">
        <v>12</v>
      </c>
      <c r="B17" s="385">
        <v>24900</v>
      </c>
      <c r="C17" s="386">
        <v>27600</v>
      </c>
      <c r="D17" s="386">
        <v>30200</v>
      </c>
      <c r="E17" s="386">
        <v>35300</v>
      </c>
      <c r="F17" s="387">
        <v>40400</v>
      </c>
      <c r="G17" s="388">
        <v>49000</v>
      </c>
      <c r="H17" s="389">
        <v>62200</v>
      </c>
      <c r="I17" s="389">
        <v>66000</v>
      </c>
      <c r="J17" s="411">
        <v>73400</v>
      </c>
      <c r="K17" s="412">
        <v>77700</v>
      </c>
      <c r="L17" s="413">
        <v>93800</v>
      </c>
      <c r="M17" s="414">
        <v>109100</v>
      </c>
    </row>
    <row r="18" spans="1:13" ht="15">
      <c r="A18" s="384">
        <v>13</v>
      </c>
      <c r="B18" s="385">
        <v>25600</v>
      </c>
      <c r="C18" s="386">
        <v>28400</v>
      </c>
      <c r="D18" s="386">
        <v>31100</v>
      </c>
      <c r="E18" s="386">
        <v>36400</v>
      </c>
      <c r="F18" s="387">
        <v>41600</v>
      </c>
      <c r="G18" s="388">
        <v>50500</v>
      </c>
      <c r="H18" s="389">
        <v>64100</v>
      </c>
      <c r="I18" s="389">
        <v>68000</v>
      </c>
      <c r="J18" s="411">
        <v>75600</v>
      </c>
      <c r="K18" s="412">
        <v>80000</v>
      </c>
      <c r="L18" s="413">
        <v>96600</v>
      </c>
      <c r="M18" s="414">
        <v>112400</v>
      </c>
    </row>
    <row r="19" spans="1:13" ht="15">
      <c r="A19" s="384">
        <v>14</v>
      </c>
      <c r="B19" s="385">
        <v>26400</v>
      </c>
      <c r="C19" s="386">
        <v>29300</v>
      </c>
      <c r="D19" s="386">
        <v>32000</v>
      </c>
      <c r="E19" s="386">
        <v>37500</v>
      </c>
      <c r="F19" s="387">
        <v>42800</v>
      </c>
      <c r="G19" s="388">
        <v>52000</v>
      </c>
      <c r="H19" s="389">
        <v>66000</v>
      </c>
      <c r="I19" s="389">
        <v>70000</v>
      </c>
      <c r="J19" s="411">
        <v>77900</v>
      </c>
      <c r="K19" s="412">
        <v>82400</v>
      </c>
      <c r="L19" s="413">
        <v>99500</v>
      </c>
      <c r="M19" s="414">
        <v>115800</v>
      </c>
    </row>
    <row r="20" spans="1:13" ht="15">
      <c r="A20" s="384">
        <v>15</v>
      </c>
      <c r="B20" s="390">
        <v>27200</v>
      </c>
      <c r="C20" s="386">
        <v>30200</v>
      </c>
      <c r="D20" s="386">
        <v>33000</v>
      </c>
      <c r="E20" s="386">
        <v>38600</v>
      </c>
      <c r="F20" s="387">
        <v>44100</v>
      </c>
      <c r="G20" s="388">
        <v>53600</v>
      </c>
      <c r="H20" s="389">
        <v>68000</v>
      </c>
      <c r="I20" s="389">
        <v>72100</v>
      </c>
      <c r="J20" s="411">
        <v>80200</v>
      </c>
      <c r="K20" s="412">
        <v>84900</v>
      </c>
      <c r="L20" s="413">
        <v>102500</v>
      </c>
      <c r="M20" s="414">
        <v>119300</v>
      </c>
    </row>
    <row r="21" spans="1:13" ht="15">
      <c r="A21" s="384">
        <v>16</v>
      </c>
      <c r="B21" s="390">
        <v>28000</v>
      </c>
      <c r="C21" s="386">
        <v>31100</v>
      </c>
      <c r="D21" s="386">
        <v>34000</v>
      </c>
      <c r="E21" s="386">
        <v>39800</v>
      </c>
      <c r="F21" s="387">
        <v>45400</v>
      </c>
      <c r="G21" s="388">
        <v>55200</v>
      </c>
      <c r="H21" s="389">
        <v>70000</v>
      </c>
      <c r="I21" s="389">
        <v>74300</v>
      </c>
      <c r="J21" s="411">
        <v>82600</v>
      </c>
      <c r="K21" s="412">
        <v>87400</v>
      </c>
      <c r="L21" s="413">
        <v>105600</v>
      </c>
      <c r="M21" s="414">
        <v>122900</v>
      </c>
    </row>
    <row r="22" spans="1:13" ht="15">
      <c r="A22" s="391">
        <v>17</v>
      </c>
      <c r="B22" s="390">
        <v>28800</v>
      </c>
      <c r="C22" s="386">
        <v>32000</v>
      </c>
      <c r="D22" s="386">
        <v>35000</v>
      </c>
      <c r="E22" s="386">
        <v>41000</v>
      </c>
      <c r="F22" s="387">
        <v>46800</v>
      </c>
      <c r="G22" s="388">
        <v>56900</v>
      </c>
      <c r="H22" s="389">
        <v>72100</v>
      </c>
      <c r="I22" s="389">
        <v>76500</v>
      </c>
      <c r="J22" s="411">
        <v>85100</v>
      </c>
      <c r="K22" s="412">
        <v>90000</v>
      </c>
      <c r="L22" s="413">
        <v>108800</v>
      </c>
      <c r="M22" s="415">
        <v>126600</v>
      </c>
    </row>
    <row r="23" spans="1:13" ht="15">
      <c r="A23" s="392">
        <v>18</v>
      </c>
      <c r="B23" s="393">
        <v>29700</v>
      </c>
      <c r="C23" s="394">
        <v>33000</v>
      </c>
      <c r="D23" s="394">
        <v>36100</v>
      </c>
      <c r="E23" s="394">
        <v>42200</v>
      </c>
      <c r="F23" s="395">
        <v>48200</v>
      </c>
      <c r="G23" s="396">
        <v>58600</v>
      </c>
      <c r="H23" s="397">
        <v>74300</v>
      </c>
      <c r="I23" s="397">
        <v>78800</v>
      </c>
      <c r="J23" s="416">
        <v>87700</v>
      </c>
      <c r="K23" s="417">
        <v>92700</v>
      </c>
      <c r="L23" s="418">
        <v>112100</v>
      </c>
      <c r="M23" s="419">
        <v>130400</v>
      </c>
    </row>
  </sheetData>
  <sheetProtection password="C3A3" sheet="1" objects="1" scenarios="1"/>
  <mergeCells count="5">
    <mergeCell ref="B3:F3"/>
    <mergeCell ref="G3:J3"/>
    <mergeCell ref="K3:M3"/>
    <mergeCell ref="N2:P3"/>
    <mergeCell ref="A1:M2"/>
  </mergeCells>
  <hyperlinks>
    <hyperlink ref="N2:P3" location="'Personal Information'!A1" display="Back to Home Page" xr:uid="{00000000-0004-0000-0300-000000000000}"/>
  </hyperlinks>
  <printOptions headings="1"/>
  <pageMargins left="0.7" right="0.7" top="0.75" bottom="0.75" header="0.3" footer="0.3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tabColor rgb="FFFFFF00"/>
  </sheetPr>
  <dimension ref="A1:AV109"/>
  <sheetViews>
    <sheetView showGridLines="0" view="pageBreakPreview" zoomScale="90" zoomScaleNormal="100" workbookViewId="0">
      <selection activeCell="AT2" sqref="AT2:AV3"/>
    </sheetView>
  </sheetViews>
  <sheetFormatPr defaultColWidth="9" defaultRowHeight="12.75"/>
  <cols>
    <col min="1" max="1" width="4.28515625" customWidth="1"/>
    <col min="2" max="2" width="6.5703125" customWidth="1"/>
    <col min="3" max="3" width="6" customWidth="1"/>
    <col min="4" max="4" width="5" customWidth="1"/>
    <col min="5" max="5" width="11.5703125" customWidth="1"/>
    <col min="6" max="6" width="9.5703125" customWidth="1"/>
    <col min="7" max="7" width="10.5703125" customWidth="1"/>
    <col min="8" max="8" width="10.7109375" customWidth="1"/>
    <col min="9" max="9" width="7.85546875" customWidth="1"/>
    <col min="10" max="11" width="9" customWidth="1"/>
    <col min="12" max="12" width="9.5703125" customWidth="1"/>
    <col min="13" max="13" width="12.140625" customWidth="1"/>
    <col min="14" max="14" width="9.140625" customWidth="1"/>
    <col min="15" max="15" width="10.5703125" customWidth="1"/>
    <col min="16" max="16" width="10.140625" customWidth="1"/>
    <col min="17" max="17" width="9.5703125" customWidth="1"/>
    <col min="18" max="18" width="9" customWidth="1"/>
    <col min="19" max="19" width="9.140625" customWidth="1"/>
    <col min="20" max="21" width="9" customWidth="1"/>
    <col min="22" max="22" width="10.7109375" customWidth="1"/>
    <col min="23" max="23" width="12.28515625" customWidth="1"/>
    <col min="24" max="24" width="11.85546875" hidden="1" customWidth="1"/>
    <col min="25" max="26" width="9.140625" hidden="1" customWidth="1"/>
    <col min="27" max="27" width="14.28515625" hidden="1" customWidth="1"/>
    <col min="28" max="28" width="11.28515625" hidden="1" customWidth="1"/>
    <col min="29" max="29" width="10" hidden="1" customWidth="1"/>
    <col min="30" max="30" width="11.85546875" hidden="1" customWidth="1"/>
    <col min="31" max="31" width="10.5703125" hidden="1" customWidth="1"/>
    <col min="32" max="32" width="9.140625" hidden="1" customWidth="1"/>
    <col min="33" max="33" width="11.28515625" hidden="1" customWidth="1"/>
    <col min="34" max="34" width="9.140625" hidden="1" customWidth="1"/>
    <col min="35" max="35" width="8.42578125" hidden="1" customWidth="1"/>
    <col min="36" max="36" width="9.5703125" hidden="1" customWidth="1"/>
    <col min="37" max="37" width="11.85546875" hidden="1" customWidth="1"/>
    <col min="38" max="38" width="11.7109375" hidden="1" customWidth="1"/>
    <col min="39" max="41" width="10.7109375" hidden="1" customWidth="1"/>
    <col min="42" max="44" width="9.140625" hidden="1" customWidth="1"/>
    <col min="45" max="45" width="2.85546875" hidden="1" customWidth="1"/>
    <col min="46" max="46" width="17.85546875" customWidth="1"/>
    <col min="47" max="122" width="9.140625" customWidth="1"/>
  </cols>
  <sheetData>
    <row r="1" spans="1:48" s="241" customFormat="1" ht="24" customHeight="1">
      <c r="A1" s="246"/>
      <c r="B1" s="1127" t="s">
        <v>223</v>
      </c>
      <c r="C1" s="1127"/>
      <c r="D1" s="1127"/>
      <c r="E1" s="1127"/>
      <c r="F1" s="1127"/>
      <c r="G1" s="1127"/>
      <c r="H1" s="1127"/>
      <c r="I1" s="1127"/>
      <c r="J1" s="1127"/>
      <c r="K1" s="1127"/>
      <c r="L1" s="1127"/>
      <c r="M1" s="1127"/>
      <c r="N1" s="1127"/>
      <c r="O1" s="1127"/>
      <c r="P1" s="247"/>
      <c r="Q1" s="1128" t="str">
        <f>'Personal Information'!$C$26</f>
        <v>2024-25</v>
      </c>
      <c r="R1" s="1128"/>
      <c r="S1" s="177"/>
      <c r="T1" s="177"/>
      <c r="U1" s="303"/>
      <c r="V1" s="303"/>
      <c r="W1" s="303"/>
      <c r="Y1" s="327"/>
      <c r="Z1" s="327"/>
      <c r="AB1" s="327"/>
      <c r="AC1" s="327"/>
      <c r="AD1" s="327"/>
      <c r="AE1" s="327"/>
      <c r="AF1" s="327"/>
      <c r="AG1" s="327"/>
      <c r="AH1" s="327"/>
      <c r="AO1" s="1079" t="s">
        <v>181</v>
      </c>
      <c r="AP1" s="1079"/>
      <c r="AQ1" s="1079"/>
    </row>
    <row r="2" spans="1:48" s="51" customFormat="1" ht="18.75" customHeight="1">
      <c r="A2" s="130" t="s">
        <v>224</v>
      </c>
      <c r="B2" s="130"/>
      <c r="C2" s="130"/>
      <c r="D2" s="130"/>
      <c r="E2" s="130"/>
      <c r="F2" s="1129" t="str">
        <f>'Personal Information'!$C$3</f>
        <v>VIKAS</v>
      </c>
      <c r="G2" s="1129"/>
      <c r="H2" s="1129"/>
      <c r="I2" s="1129"/>
      <c r="J2" s="130"/>
      <c r="K2" s="130"/>
      <c r="L2" s="130"/>
      <c r="M2" s="130" t="s">
        <v>225</v>
      </c>
      <c r="N2" s="130"/>
      <c r="O2" s="1080" t="str">
        <f>IF(E46="M",C55,C57)</f>
        <v>0 0 TEHRI</v>
      </c>
      <c r="P2" s="1080"/>
      <c r="Q2" s="1080"/>
      <c r="R2" s="1080"/>
      <c r="S2" s="1080"/>
      <c r="T2" s="1080"/>
      <c r="U2" s="1080"/>
      <c r="V2" s="1080"/>
      <c r="W2" s="1080"/>
      <c r="X2" s="223"/>
      <c r="AB2" s="130"/>
      <c r="AC2" s="130"/>
      <c r="AD2" s="130"/>
      <c r="AE2" s="130"/>
      <c r="AF2" s="130"/>
      <c r="AG2" s="130"/>
      <c r="AH2" s="130"/>
      <c r="AI2" s="130"/>
      <c r="AO2" s="1079"/>
      <c r="AP2" s="1079"/>
      <c r="AQ2" s="1079"/>
      <c r="AT2" s="1078" t="s">
        <v>181</v>
      </c>
      <c r="AU2" s="1078"/>
      <c r="AV2" s="1078"/>
    </row>
    <row r="3" spans="1:48" s="51" customFormat="1" ht="15.75" customHeight="1">
      <c r="A3" s="1080" t="s">
        <v>226</v>
      </c>
      <c r="B3" s="1080"/>
      <c r="C3" s="1080"/>
      <c r="D3" s="223"/>
      <c r="E3" s="130" t="s">
        <v>227</v>
      </c>
      <c r="F3" s="1129">
        <f>'Personal Information'!$C$6</f>
        <v>0</v>
      </c>
      <c r="G3" s="1129"/>
      <c r="H3" s="1129"/>
      <c r="I3" s="1129"/>
      <c r="J3" s="130"/>
      <c r="K3" s="130"/>
      <c r="L3" s="130"/>
      <c r="M3" s="291" t="s">
        <v>81</v>
      </c>
      <c r="N3" s="291"/>
      <c r="O3" s="1129">
        <f>'Personal Information'!$C$9</f>
        <v>0</v>
      </c>
      <c r="P3" s="1129"/>
      <c r="Q3" s="1129"/>
      <c r="R3" s="1129"/>
      <c r="S3" s="248"/>
      <c r="T3" s="248"/>
      <c r="U3" s="248"/>
      <c r="AT3" s="1078"/>
      <c r="AU3" s="1078"/>
      <c r="AV3" s="1078"/>
    </row>
    <row r="4" spans="1:48" s="51" customFormat="1" ht="17.25" customHeight="1">
      <c r="A4" s="249" t="s">
        <v>228</v>
      </c>
      <c r="B4" s="249"/>
      <c r="C4" s="249"/>
      <c r="D4" s="249"/>
      <c r="E4" s="249"/>
      <c r="F4" s="1116" t="str">
        <f>'Personal Information'!$M$8</f>
        <v/>
      </c>
      <c r="G4" s="1116"/>
      <c r="H4" s="1116"/>
      <c r="I4" s="249"/>
      <c r="J4" s="52" t="str">
        <f>IF(E46="B",C45,C46)</f>
        <v/>
      </c>
      <c r="K4" s="52"/>
      <c r="L4" s="52"/>
      <c r="M4" s="52" t="str">
        <f>IF(E46="B",F45,C46)</f>
        <v/>
      </c>
      <c r="N4" s="292"/>
      <c r="O4" s="293"/>
      <c r="P4" s="293"/>
      <c r="Q4" s="304"/>
      <c r="R4" s="1117" t="s">
        <v>136</v>
      </c>
      <c r="S4" s="1118"/>
      <c r="T4" s="1119" t="str">
        <f>'Details of Deductions'!D32</f>
        <v>NEW REGIME</v>
      </c>
      <c r="U4" s="1120"/>
      <c r="V4" s="304"/>
      <c r="W4" s="293"/>
      <c r="AA4" s="130"/>
      <c r="AB4" s="130"/>
      <c r="AD4" s="130"/>
      <c r="AE4" s="130"/>
      <c r="AF4" s="130"/>
      <c r="AG4" s="51" t="s">
        <v>229</v>
      </c>
      <c r="AH4" s="51" t="s">
        <v>230</v>
      </c>
      <c r="AI4" s="734" t="s">
        <v>231</v>
      </c>
      <c r="AJ4" s="121" t="s">
        <v>232</v>
      </c>
    </row>
    <row r="5" spans="1:48" s="142" customFormat="1" ht="18" customHeight="1">
      <c r="A5" s="250" t="s">
        <v>233</v>
      </c>
      <c r="B5" s="1121" t="s">
        <v>234</v>
      </c>
      <c r="C5" s="1122"/>
      <c r="D5" s="1123"/>
      <c r="E5" s="250" t="s">
        <v>235</v>
      </c>
      <c r="F5" s="250" t="s">
        <v>236</v>
      </c>
      <c r="G5" s="1081" t="s">
        <v>237</v>
      </c>
      <c r="H5" s="250" t="s">
        <v>238</v>
      </c>
      <c r="I5" s="250" t="s">
        <v>239</v>
      </c>
      <c r="J5" s="250" t="s">
        <v>240</v>
      </c>
      <c r="K5" s="1081" t="s">
        <v>97</v>
      </c>
      <c r="L5" s="1081" t="s">
        <v>241</v>
      </c>
      <c r="M5" s="250" t="s">
        <v>242</v>
      </c>
      <c r="N5" s="1124" t="s">
        <v>243</v>
      </c>
      <c r="O5" s="1125"/>
      <c r="P5" s="1125"/>
      <c r="Q5" s="1125"/>
      <c r="R5" s="1126"/>
      <c r="S5" s="1085" t="s">
        <v>83</v>
      </c>
      <c r="T5" s="1081" t="s">
        <v>244</v>
      </c>
      <c r="U5" s="1081" t="s">
        <v>245</v>
      </c>
      <c r="V5" s="251" t="s">
        <v>166</v>
      </c>
      <c r="W5" s="305" t="s">
        <v>246</v>
      </c>
      <c r="X5" s="306"/>
      <c r="Y5" s="328"/>
      <c r="Z5" s="328"/>
      <c r="AA5" s="329"/>
      <c r="AB5" s="172" t="s">
        <v>247</v>
      </c>
      <c r="AC5" s="330">
        <f>'Personal Information'!$C$11</f>
        <v>2800</v>
      </c>
      <c r="AG5" s="351" t="str">
        <f>'Personal Information'!$M$11</f>
        <v>C</v>
      </c>
      <c r="AH5" s="352" t="s">
        <v>248</v>
      </c>
      <c r="AI5" s="352" t="s">
        <v>248</v>
      </c>
      <c r="AJ5" s="142">
        <v>0</v>
      </c>
    </row>
    <row r="6" spans="1:48" s="142" customFormat="1" ht="18" customHeight="1">
      <c r="A6" s="251" t="s">
        <v>249</v>
      </c>
      <c r="B6" s="252"/>
      <c r="C6" s="253"/>
      <c r="D6" s="254"/>
      <c r="E6" s="251" t="s">
        <v>250</v>
      </c>
      <c r="F6" s="251" t="s">
        <v>250</v>
      </c>
      <c r="G6" s="1082"/>
      <c r="H6" s="251"/>
      <c r="I6" s="251"/>
      <c r="J6" s="251"/>
      <c r="K6" s="1082"/>
      <c r="L6" s="1082"/>
      <c r="M6" s="252" t="s">
        <v>166</v>
      </c>
      <c r="N6" s="294" t="str">
        <f>IF(AG5="G",AG4,IF(AG5="C",AH5,AI4))</f>
        <v>CPSN</v>
      </c>
      <c r="O6" s="295"/>
      <c r="P6" s="1084" t="s">
        <v>241</v>
      </c>
      <c r="Q6" s="254" t="s">
        <v>251</v>
      </c>
      <c r="R6" s="254" t="s">
        <v>252</v>
      </c>
      <c r="S6" s="1086"/>
      <c r="T6" s="1082"/>
      <c r="U6" s="1082"/>
      <c r="V6" s="307" t="s">
        <v>253</v>
      </c>
      <c r="W6" s="305" t="s">
        <v>254</v>
      </c>
      <c r="X6" s="306"/>
      <c r="Y6" s="217"/>
      <c r="Z6" s="217"/>
      <c r="AB6" s="66" t="s">
        <v>240</v>
      </c>
      <c r="AC6" s="217">
        <f>(AC5*AF8/100)</f>
        <v>1400</v>
      </c>
      <c r="AD6" s="331"/>
      <c r="AE6" s="331"/>
      <c r="AF6" s="331"/>
      <c r="AG6" s="217"/>
      <c r="AH6" s="217"/>
      <c r="AI6" s="217"/>
      <c r="AJ6" s="217"/>
    </row>
    <row r="7" spans="1:48" s="142" customFormat="1" ht="18" customHeight="1">
      <c r="A7" s="255"/>
      <c r="B7" s="256"/>
      <c r="C7" s="257"/>
      <c r="D7" s="258"/>
      <c r="E7" s="255"/>
      <c r="F7" s="255"/>
      <c r="G7" s="1083"/>
      <c r="H7" s="255"/>
      <c r="I7" s="255"/>
      <c r="J7" s="255"/>
      <c r="K7" s="1083"/>
      <c r="L7" s="1083"/>
      <c r="M7" s="255"/>
      <c r="N7" s="296" t="str">
        <f>IF(AG5="C",AI4,AJ4)</f>
        <v/>
      </c>
      <c r="O7" s="297" t="s">
        <v>255</v>
      </c>
      <c r="P7" s="1083"/>
      <c r="Q7" s="308"/>
      <c r="R7" s="258" t="s">
        <v>256</v>
      </c>
      <c r="S7" s="1087"/>
      <c r="T7" s="1083"/>
      <c r="U7" s="1083"/>
      <c r="V7" s="309"/>
      <c r="W7" s="310"/>
      <c r="X7" s="311"/>
      <c r="AB7" s="332" t="s">
        <v>257</v>
      </c>
      <c r="AC7" s="333" t="s">
        <v>258</v>
      </c>
      <c r="AD7" s="333" t="s">
        <v>259</v>
      </c>
      <c r="AE7" s="333" t="s">
        <v>260</v>
      </c>
      <c r="AF7" s="217" t="s">
        <v>261</v>
      </c>
      <c r="AG7" s="217" t="s">
        <v>262</v>
      </c>
      <c r="AH7" s="217" t="s">
        <v>263</v>
      </c>
      <c r="AI7" s="217" t="s">
        <v>264</v>
      </c>
      <c r="AJ7" s="215"/>
      <c r="AK7" s="215"/>
      <c r="AL7" s="215"/>
      <c r="AM7" s="215"/>
      <c r="AN7" s="215"/>
    </row>
    <row r="8" spans="1:48" ht="18" customHeight="1">
      <c r="A8" s="259">
        <v>1</v>
      </c>
      <c r="B8" s="1106" t="s">
        <v>102</v>
      </c>
      <c r="C8" s="1107"/>
      <c r="D8" s="260">
        <f>'Personal Information'!$X$16</f>
        <v>24</v>
      </c>
      <c r="E8" s="261">
        <f>'Personal Information'!$C$10</f>
        <v>35000</v>
      </c>
      <c r="F8" s="262">
        <v>0</v>
      </c>
      <c r="G8" s="262">
        <v>0</v>
      </c>
      <c r="H8" s="262">
        <f>ROUND((E8)*AD8,0)</f>
        <v>17500</v>
      </c>
      <c r="I8" s="262">
        <f>IF(AC5&gt;5400,540,IF(AC5&lt;5401,AC5*0.1))</f>
        <v>280</v>
      </c>
      <c r="J8" s="262">
        <f>'Personal Information'!AL33</f>
        <v>3550</v>
      </c>
      <c r="K8" s="262">
        <f>'Personal Information'!AJ11</f>
        <v>0</v>
      </c>
      <c r="L8" s="262">
        <f>IF(AG5="G",AO8,IF(AG5="C",AQ8,U29AD5))</f>
        <v>7742</v>
      </c>
      <c r="M8" s="262">
        <f>SUM(E8:L8)</f>
        <v>64072</v>
      </c>
      <c r="N8" s="267">
        <f>IF(AG5="G",AI8,IF(AG5="C",AH8,U29AD5))</f>
        <v>5250</v>
      </c>
      <c r="O8" s="262">
        <v>0</v>
      </c>
      <c r="P8" s="262">
        <f>L8</f>
        <v>7742</v>
      </c>
      <c r="Q8" s="262">
        <f>IF(AC5&gt;5400,1400,IF(AC5&gt;2800,700,IF(AC5&lt;2801,350)))</f>
        <v>350</v>
      </c>
      <c r="R8" s="262">
        <f>IF(AE8&gt;0,AE8,0)</f>
        <v>2000</v>
      </c>
      <c r="S8" s="262">
        <f>'Personal Information'!R9:V9</f>
        <v>0</v>
      </c>
      <c r="T8" s="262">
        <f>'Personal Information'!AK31</f>
        <v>0</v>
      </c>
      <c r="U8" s="262">
        <v>0</v>
      </c>
      <c r="V8" s="262">
        <f>SUM(N8:U8)</f>
        <v>15342</v>
      </c>
      <c r="W8" s="312">
        <f>M8-V8</f>
        <v>48730</v>
      </c>
      <c r="X8" s="134">
        <f>(ROUND((Y8-1),0))</f>
        <v>1693</v>
      </c>
      <c r="Y8" s="32">
        <f>ROUNDUP(IF(Z8&lt;=0,0,Z8),0-0)</f>
        <v>1694</v>
      </c>
      <c r="Z8" s="334">
        <f>AA8/31</f>
        <v>1693.5483870967701</v>
      </c>
      <c r="AA8" s="335">
        <f>E8+H8</f>
        <v>52500</v>
      </c>
      <c r="AB8" s="336" t="s">
        <v>47</v>
      </c>
      <c r="AC8" s="337"/>
      <c r="AD8" s="323">
        <f>'Personal Information'!AK14</f>
        <v>0.5</v>
      </c>
      <c r="AE8" s="338">
        <f>'Personal Information'!$AF$28</f>
        <v>2000</v>
      </c>
      <c r="AF8" s="339">
        <v>50</v>
      </c>
      <c r="AG8" s="344">
        <f>ROUND((E8+H8)*0.1,0)</f>
        <v>5250</v>
      </c>
      <c r="AH8" s="344">
        <f>AG8</f>
        <v>5250</v>
      </c>
      <c r="AI8" s="350">
        <f>'Personal Information'!$C$14</f>
        <v>0</v>
      </c>
      <c r="AK8" s="353">
        <f>E8+H8+H21</f>
        <v>55300</v>
      </c>
      <c r="AL8" s="279">
        <f>ROUND((AK8)*0.14,100)</f>
        <v>7742</v>
      </c>
      <c r="AO8" s="358">
        <v>0</v>
      </c>
      <c r="AP8" s="358"/>
      <c r="AQ8" s="279">
        <f>(ROUND((AL8),0))</f>
        <v>7742</v>
      </c>
      <c r="AR8" s="279">
        <f>(ROUND((AQ8-1),0))</f>
        <v>7741</v>
      </c>
    </row>
    <row r="9" spans="1:48" ht="18" customHeight="1">
      <c r="A9" s="259">
        <v>2</v>
      </c>
      <c r="B9" s="1106" t="s">
        <v>105</v>
      </c>
      <c r="C9" s="1107"/>
      <c r="D9" s="263">
        <f>SUM(D8)</f>
        <v>24</v>
      </c>
      <c r="E9" s="261">
        <f>SUM(E8)</f>
        <v>35000</v>
      </c>
      <c r="F9" s="262">
        <f>SUM(F8)</f>
        <v>0</v>
      </c>
      <c r="G9" s="262">
        <v>0</v>
      </c>
      <c r="H9" s="262">
        <f t="shared" ref="H9:H19" si="0">ROUND((E9)*AD9,0)</f>
        <v>17500</v>
      </c>
      <c r="I9" s="262">
        <f>SUM(I8)</f>
        <v>280</v>
      </c>
      <c r="J9" s="262">
        <f>SUM(J8)</f>
        <v>3550</v>
      </c>
      <c r="K9" s="262">
        <f>K8</f>
        <v>0</v>
      </c>
      <c r="L9" s="262">
        <f>IF(AG5="G",AO9,IF(AG5="C",AQ9,U29AD5))</f>
        <v>7350</v>
      </c>
      <c r="M9" s="262">
        <f t="shared" ref="M9:M19" si="1">SUM(E9:L9)</f>
        <v>63680</v>
      </c>
      <c r="N9" s="267">
        <f>IF(AG5="G",AI9,IF(AG5="C",AH9,AI5))</f>
        <v>5250</v>
      </c>
      <c r="O9" s="262">
        <f>SUM(O8)</f>
        <v>0</v>
      </c>
      <c r="P9" s="262">
        <f t="shared" ref="P9:P19" si="2">L9</f>
        <v>7350</v>
      </c>
      <c r="Q9" s="262">
        <f>SUM(Q8)</f>
        <v>350</v>
      </c>
      <c r="R9" s="262">
        <f>R8</f>
        <v>2000</v>
      </c>
      <c r="S9" s="262">
        <f>S8</f>
        <v>0</v>
      </c>
      <c r="T9" s="262">
        <f>T8</f>
        <v>0</v>
      </c>
      <c r="U9" s="262">
        <v>0</v>
      </c>
      <c r="V9" s="262">
        <f t="shared" ref="V9:V22" si="3">SUM(N9:U9)</f>
        <v>14950</v>
      </c>
      <c r="W9" s="312">
        <f t="shared" ref="W9:W20" si="4">M9-V9</f>
        <v>48730</v>
      </c>
      <c r="X9" s="134">
        <f>(ROUND((Y9),0))</f>
        <v>1750</v>
      </c>
      <c r="Y9" s="32">
        <f>ROUNDUP(IF(Z9&lt;=0,0,Z9),0-0)</f>
        <v>1750</v>
      </c>
      <c r="Z9" s="334">
        <f>AA9/30</f>
        <v>1750</v>
      </c>
      <c r="AA9" s="335">
        <f>E9+H9</f>
        <v>52500</v>
      </c>
      <c r="AB9" s="336" t="s">
        <v>32</v>
      </c>
      <c r="AC9" s="337">
        <f>'Personal Information'!$AF$14</f>
        <v>0</v>
      </c>
      <c r="AD9" s="323">
        <f>'Personal Information'!AK15</f>
        <v>0.5</v>
      </c>
      <c r="AE9" s="337">
        <f>'Personal Information'!$AF$29</f>
        <v>0</v>
      </c>
      <c r="AF9" s="32"/>
      <c r="AG9" s="344">
        <f t="shared" ref="AG9:AG19" si="5">ROUND((E9+H9)*0.1,0)</f>
        <v>5250</v>
      </c>
      <c r="AH9" s="32">
        <f t="shared" ref="AH9:AH19" si="6">AG9</f>
        <v>5250</v>
      </c>
      <c r="AI9" s="334">
        <f>SUM(AI8)</f>
        <v>0</v>
      </c>
      <c r="AK9" s="353">
        <f>E9+H9</f>
        <v>52500</v>
      </c>
      <c r="AL9" s="279">
        <f t="shared" ref="AL9:AL19" si="7">ROUND((AK9)*0.14,100)</f>
        <v>7350</v>
      </c>
      <c r="AO9" s="358">
        <v>0</v>
      </c>
      <c r="AQ9" s="279">
        <f>(ROUND((AL9),0))</f>
        <v>7350</v>
      </c>
      <c r="AR9" s="279">
        <f>(ROUND((AQ9-1),0))</f>
        <v>7349</v>
      </c>
    </row>
    <row r="10" spans="1:48" ht="18" customHeight="1">
      <c r="A10" s="259">
        <v>3</v>
      </c>
      <c r="B10" s="1106" t="s">
        <v>107</v>
      </c>
      <c r="C10" s="1107"/>
      <c r="D10" s="263">
        <f t="shared" ref="D10:D16" si="8">SUM(D9)</f>
        <v>24</v>
      </c>
      <c r="E10" s="261">
        <f>SUM(E9+AC10)</f>
        <v>35000</v>
      </c>
      <c r="F10" s="262">
        <f t="shared" ref="F10:F19" si="9">SUM(F9)</f>
        <v>0</v>
      </c>
      <c r="G10" s="262">
        <v>0</v>
      </c>
      <c r="H10" s="262">
        <f t="shared" si="0"/>
        <v>17500</v>
      </c>
      <c r="I10" s="262">
        <f t="shared" ref="I10:I19" si="10">SUM(I9)</f>
        <v>280</v>
      </c>
      <c r="J10" s="262">
        <f t="shared" ref="J10:J19" si="11">SUM(J9)</f>
        <v>3550</v>
      </c>
      <c r="K10" s="262">
        <f t="shared" ref="K10:K19" si="12">K9</f>
        <v>0</v>
      </c>
      <c r="L10" s="262">
        <f>IF(AG5="G",AO10,IF(AG5="C",AQ10,U29AD5))</f>
        <v>7350</v>
      </c>
      <c r="M10" s="262">
        <f t="shared" si="1"/>
        <v>63680</v>
      </c>
      <c r="N10" s="267">
        <f>IF(AG5="G",AI10,IF(AG5="C",AH10,AI5))</f>
        <v>5250</v>
      </c>
      <c r="O10" s="262">
        <f t="shared" ref="O10:Q19" si="13">SUM(O9)</f>
        <v>0</v>
      </c>
      <c r="P10" s="262">
        <f t="shared" si="2"/>
        <v>7350</v>
      </c>
      <c r="Q10" s="262">
        <f t="shared" si="13"/>
        <v>350</v>
      </c>
      <c r="R10" s="262">
        <f t="shared" ref="R10:R18" si="14">R9</f>
        <v>2000</v>
      </c>
      <c r="S10" s="262">
        <f t="shared" ref="S10:T19" si="15">S9</f>
        <v>0</v>
      </c>
      <c r="T10" s="262">
        <f t="shared" si="15"/>
        <v>0</v>
      </c>
      <c r="U10" s="262">
        <v>0</v>
      </c>
      <c r="V10" s="262">
        <f t="shared" si="3"/>
        <v>14950</v>
      </c>
      <c r="W10" s="312">
        <f t="shared" si="4"/>
        <v>48730</v>
      </c>
      <c r="X10" s="134">
        <f>(ROUND((Y10-1),0))</f>
        <v>1693</v>
      </c>
      <c r="Y10" s="32">
        <f>ROUNDUP(IF(Z10&lt;=0,0,Z10),0-0)</f>
        <v>1694</v>
      </c>
      <c r="Z10" s="334">
        <f>AA10/31</f>
        <v>1693.5483870967701</v>
      </c>
      <c r="AA10" s="335">
        <f>E10+H10</f>
        <v>52500</v>
      </c>
      <c r="AB10" s="336" t="s">
        <v>34</v>
      </c>
      <c r="AC10" s="337">
        <f>'Personal Information'!$AF$15</f>
        <v>0</v>
      </c>
      <c r="AD10" s="323">
        <f>'Personal Information'!AK16</f>
        <v>0.5</v>
      </c>
      <c r="AE10" s="337">
        <f>'Personal Information'!$AF$30</f>
        <v>0</v>
      </c>
      <c r="AF10" s="32"/>
      <c r="AG10" s="344">
        <f t="shared" si="5"/>
        <v>5250</v>
      </c>
      <c r="AH10" s="32">
        <f t="shared" si="6"/>
        <v>5250</v>
      </c>
      <c r="AI10" s="334">
        <f t="shared" ref="AI10:AI19" si="16">SUM(AI9)</f>
        <v>0</v>
      </c>
      <c r="AK10" s="353">
        <f>E10+H10</f>
        <v>52500</v>
      </c>
      <c r="AL10" s="279">
        <f t="shared" si="7"/>
        <v>7350</v>
      </c>
      <c r="AO10" s="358">
        <v>0</v>
      </c>
      <c r="AQ10" s="279">
        <f t="shared" ref="AQ10:AQ19" si="17">(ROUND((AL10),0))</f>
        <v>7350</v>
      </c>
      <c r="AR10" s="279">
        <f>(ROUND((AQ10-1),0))</f>
        <v>7349</v>
      </c>
    </row>
    <row r="11" spans="1:48" ht="18" customHeight="1">
      <c r="A11" s="259">
        <v>4</v>
      </c>
      <c r="B11" s="1108" t="s">
        <v>111</v>
      </c>
      <c r="C11" s="1109"/>
      <c r="D11" s="263">
        <f t="shared" si="8"/>
        <v>24</v>
      </c>
      <c r="E11" s="261">
        <f>SUM(E10+AC11)</f>
        <v>35000</v>
      </c>
      <c r="F11" s="262">
        <f t="shared" si="9"/>
        <v>0</v>
      </c>
      <c r="G11" s="262">
        <v>0</v>
      </c>
      <c r="H11" s="262">
        <f t="shared" si="0"/>
        <v>17500</v>
      </c>
      <c r="I11" s="262">
        <f t="shared" si="10"/>
        <v>280</v>
      </c>
      <c r="J11" s="262">
        <f t="shared" si="11"/>
        <v>3550</v>
      </c>
      <c r="K11" s="262">
        <f t="shared" si="12"/>
        <v>0</v>
      </c>
      <c r="L11" s="262">
        <f>IF(AG5="G",AO11,IF(AG5="C",AQ11,U29AD5))</f>
        <v>7350</v>
      </c>
      <c r="M11" s="262">
        <f t="shared" si="1"/>
        <v>63680</v>
      </c>
      <c r="N11" s="267">
        <f>IF(AG5="G",AI11,IF(AG5="C",AH11,AI5))</f>
        <v>5250</v>
      </c>
      <c r="O11" s="262">
        <f t="shared" si="13"/>
        <v>0</v>
      </c>
      <c r="P11" s="262">
        <f t="shared" si="2"/>
        <v>7350</v>
      </c>
      <c r="Q11" s="262">
        <f t="shared" si="13"/>
        <v>350</v>
      </c>
      <c r="R11" s="262">
        <f t="shared" si="14"/>
        <v>2000</v>
      </c>
      <c r="S11" s="262">
        <f t="shared" si="15"/>
        <v>0</v>
      </c>
      <c r="T11" s="262">
        <f t="shared" si="15"/>
        <v>0</v>
      </c>
      <c r="U11" s="262">
        <v>0</v>
      </c>
      <c r="V11" s="262">
        <f t="shared" si="3"/>
        <v>14950</v>
      </c>
      <c r="W11" s="312">
        <f t="shared" si="4"/>
        <v>48730</v>
      </c>
      <c r="X11" s="134">
        <f>(ROUND((Y11-1),0))</f>
        <v>1749</v>
      </c>
      <c r="Y11" s="32">
        <f>ROUNDUP(IF(Z11&lt;=0,0,Z11),0-0)</f>
        <v>1750</v>
      </c>
      <c r="Z11" s="334">
        <f>AA11/30</f>
        <v>1750</v>
      </c>
      <c r="AA11" s="335">
        <f t="shared" ref="AA11:AA19" si="18">E11+H11</f>
        <v>52500</v>
      </c>
      <c r="AB11" s="336" t="s">
        <v>36</v>
      </c>
      <c r="AC11" s="337">
        <f>'Personal Information'!$AF$16</f>
        <v>0</v>
      </c>
      <c r="AD11" s="323">
        <v>0.5</v>
      </c>
      <c r="AE11" s="337">
        <f>'Personal Information'!$AF$31</f>
        <v>0</v>
      </c>
      <c r="AF11" s="32"/>
      <c r="AG11" s="344">
        <f t="shared" si="5"/>
        <v>5250</v>
      </c>
      <c r="AH11" s="32">
        <f t="shared" si="6"/>
        <v>5250</v>
      </c>
      <c r="AI11" s="334">
        <f t="shared" si="16"/>
        <v>0</v>
      </c>
      <c r="AK11" s="353">
        <f>E11+H11</f>
        <v>52500</v>
      </c>
      <c r="AL11" s="279">
        <f t="shared" si="7"/>
        <v>7350</v>
      </c>
      <c r="AO11" s="358">
        <v>0</v>
      </c>
      <c r="AQ11" s="279">
        <f t="shared" si="17"/>
        <v>7350</v>
      </c>
      <c r="AR11" s="279">
        <f>(ROUND((AQ11-1),0))</f>
        <v>7349</v>
      </c>
    </row>
    <row r="12" spans="1:48" ht="18" customHeight="1">
      <c r="A12" s="259">
        <v>5</v>
      </c>
      <c r="B12" s="1106" t="s">
        <v>265</v>
      </c>
      <c r="C12" s="1107"/>
      <c r="D12" s="263">
        <f t="shared" si="8"/>
        <v>24</v>
      </c>
      <c r="E12" s="261">
        <f>SUM(E11+AC12)</f>
        <v>35000</v>
      </c>
      <c r="F12" s="262">
        <f t="shared" si="9"/>
        <v>0</v>
      </c>
      <c r="G12" s="262">
        <v>0</v>
      </c>
      <c r="H12" s="262">
        <f t="shared" si="0"/>
        <v>17500</v>
      </c>
      <c r="I12" s="262">
        <f t="shared" si="10"/>
        <v>280</v>
      </c>
      <c r="J12" s="262">
        <f t="shared" si="11"/>
        <v>3550</v>
      </c>
      <c r="K12" s="262">
        <f t="shared" si="12"/>
        <v>0</v>
      </c>
      <c r="L12" s="262">
        <f>IF(AG5="G",AO12,IF(AG5="C",AQ12,U29AD5))</f>
        <v>7350</v>
      </c>
      <c r="M12" s="262">
        <f t="shared" si="1"/>
        <v>63680</v>
      </c>
      <c r="N12" s="267">
        <f>IF(AG5="G",AI12,IF(AG5="C",AH12,AI5))</f>
        <v>5250</v>
      </c>
      <c r="O12" s="262">
        <f t="shared" si="13"/>
        <v>0</v>
      </c>
      <c r="P12" s="262">
        <f t="shared" si="2"/>
        <v>7350</v>
      </c>
      <c r="Q12" s="262">
        <f t="shared" si="13"/>
        <v>350</v>
      </c>
      <c r="R12" s="262">
        <f t="shared" si="14"/>
        <v>2000</v>
      </c>
      <c r="S12" s="262">
        <f t="shared" si="15"/>
        <v>0</v>
      </c>
      <c r="T12" s="262">
        <f t="shared" si="15"/>
        <v>0</v>
      </c>
      <c r="U12" s="262">
        <v>0</v>
      </c>
      <c r="V12" s="262">
        <f t="shared" si="3"/>
        <v>14950</v>
      </c>
      <c r="W12" s="312">
        <f t="shared" si="4"/>
        <v>48730</v>
      </c>
      <c r="X12" s="134">
        <f>(ROUND((Y12),0))</f>
        <v>1694</v>
      </c>
      <c r="Y12" s="32">
        <f>ROUNDUP(IF(Z12&lt;=0,0,Z12),0-0)</f>
        <v>1694</v>
      </c>
      <c r="Z12" s="334">
        <f>AA12/31</f>
        <v>1693.5483870967701</v>
      </c>
      <c r="AA12" s="335">
        <f t="shared" si="18"/>
        <v>52500</v>
      </c>
      <c r="AB12" s="336" t="s">
        <v>37</v>
      </c>
      <c r="AC12" s="337">
        <f>'Personal Information'!$AF$17</f>
        <v>0</v>
      </c>
      <c r="AD12" s="323">
        <v>0.5</v>
      </c>
      <c r="AE12" s="337">
        <f>'Personal Information'!$AF$32</f>
        <v>0</v>
      </c>
      <c r="AF12" s="32"/>
      <c r="AG12" s="344">
        <f t="shared" si="5"/>
        <v>5250</v>
      </c>
      <c r="AH12" s="32">
        <f t="shared" si="6"/>
        <v>5250</v>
      </c>
      <c r="AI12" s="334">
        <f t="shared" si="16"/>
        <v>0</v>
      </c>
      <c r="AK12" s="353">
        <f t="shared" ref="AK12:AK17" si="19">E12+H12</f>
        <v>52500</v>
      </c>
      <c r="AL12" s="279">
        <f t="shared" si="7"/>
        <v>7350</v>
      </c>
      <c r="AO12" s="358">
        <v>0</v>
      </c>
      <c r="AQ12" s="279">
        <f t="shared" si="17"/>
        <v>7350</v>
      </c>
      <c r="AR12" s="279">
        <f>AQ12</f>
        <v>7350</v>
      </c>
    </row>
    <row r="13" spans="1:48" ht="18" customHeight="1">
      <c r="A13" s="259">
        <v>6</v>
      </c>
      <c r="B13" s="1106" t="s">
        <v>266</v>
      </c>
      <c r="C13" s="1107"/>
      <c r="D13" s="263">
        <f t="shared" si="8"/>
        <v>24</v>
      </c>
      <c r="E13" s="261">
        <f>SUM(E12+AC13)</f>
        <v>35000</v>
      </c>
      <c r="F13" s="262">
        <f t="shared" si="9"/>
        <v>0</v>
      </c>
      <c r="G13" s="262">
        <v>0</v>
      </c>
      <c r="H13" s="262">
        <f t="shared" si="0"/>
        <v>17500</v>
      </c>
      <c r="I13" s="262">
        <f t="shared" si="10"/>
        <v>280</v>
      </c>
      <c r="J13" s="262">
        <f t="shared" si="11"/>
        <v>3550</v>
      </c>
      <c r="K13" s="262">
        <f t="shared" si="12"/>
        <v>0</v>
      </c>
      <c r="L13" s="262">
        <f>IF(AG5="G",AO13,IF(AG5="C",AQ13,U29AD5))</f>
        <v>7350</v>
      </c>
      <c r="M13" s="262">
        <f t="shared" si="1"/>
        <v>63680</v>
      </c>
      <c r="N13" s="267">
        <f>IF(AG5="G",AI13,IF(AG5="C",AH13,AI5))</f>
        <v>5250</v>
      </c>
      <c r="O13" s="262">
        <f t="shared" si="13"/>
        <v>0</v>
      </c>
      <c r="P13" s="262">
        <f t="shared" si="2"/>
        <v>7350</v>
      </c>
      <c r="Q13" s="262">
        <f t="shared" si="13"/>
        <v>350</v>
      </c>
      <c r="R13" s="262">
        <f t="shared" si="14"/>
        <v>2000</v>
      </c>
      <c r="S13" s="262">
        <f t="shared" si="15"/>
        <v>0</v>
      </c>
      <c r="T13" s="262">
        <f t="shared" si="15"/>
        <v>0</v>
      </c>
      <c r="U13" s="262">
        <v>0</v>
      </c>
      <c r="V13" s="262">
        <f t="shared" si="3"/>
        <v>14950</v>
      </c>
      <c r="W13" s="312">
        <f t="shared" si="4"/>
        <v>48730</v>
      </c>
      <c r="X13" s="134">
        <f>(ROUND((Y13),0))</f>
        <v>1694</v>
      </c>
      <c r="Y13" s="32">
        <f t="shared" ref="Y13:Y19" si="20">ROUNDUP(IF(Z13&lt;=0,0,Z13),0-0)</f>
        <v>1694</v>
      </c>
      <c r="Z13" s="334">
        <f>AA13/31</f>
        <v>1693.5483870967701</v>
      </c>
      <c r="AA13" s="335">
        <f t="shared" si="18"/>
        <v>52500</v>
      </c>
      <c r="AB13" s="336" t="s">
        <v>38</v>
      </c>
      <c r="AC13" s="337">
        <f>'Personal Information'!$AF$18</f>
        <v>0</v>
      </c>
      <c r="AD13" s="323">
        <v>0.5</v>
      </c>
      <c r="AE13" s="337">
        <f>'Personal Information'!$AF$33</f>
        <v>0</v>
      </c>
      <c r="AF13" s="32"/>
      <c r="AG13" s="344">
        <f t="shared" si="5"/>
        <v>5250</v>
      </c>
      <c r="AH13" s="32">
        <f t="shared" si="6"/>
        <v>5250</v>
      </c>
      <c r="AI13" s="334">
        <f t="shared" si="16"/>
        <v>0</v>
      </c>
      <c r="AK13" s="353">
        <f t="shared" si="19"/>
        <v>52500</v>
      </c>
      <c r="AL13" s="279">
        <f t="shared" si="7"/>
        <v>7350</v>
      </c>
      <c r="AO13" s="358">
        <v>0</v>
      </c>
      <c r="AQ13" s="279">
        <f t="shared" si="17"/>
        <v>7350</v>
      </c>
      <c r="AR13" s="279">
        <f t="shared" ref="AR13:AR19" si="21">AQ13</f>
        <v>7350</v>
      </c>
    </row>
    <row r="14" spans="1:48" ht="18" customHeight="1">
      <c r="A14" s="259">
        <v>7</v>
      </c>
      <c r="B14" s="1106" t="s">
        <v>118</v>
      </c>
      <c r="C14" s="1107"/>
      <c r="D14" s="263">
        <f t="shared" si="8"/>
        <v>24</v>
      </c>
      <c r="E14" s="261">
        <f>E13</f>
        <v>35000</v>
      </c>
      <c r="F14" s="262">
        <f t="shared" si="9"/>
        <v>0</v>
      </c>
      <c r="G14" s="262">
        <v>0</v>
      </c>
      <c r="H14" s="262">
        <f t="shared" si="0"/>
        <v>17500</v>
      </c>
      <c r="I14" s="262">
        <f t="shared" si="10"/>
        <v>280</v>
      </c>
      <c r="J14" s="262">
        <f>J13</f>
        <v>3550</v>
      </c>
      <c r="K14" s="262">
        <f t="shared" si="12"/>
        <v>0</v>
      </c>
      <c r="L14" s="262">
        <f>IF(AG5="G",AO14,IF(AG5="C",AQ14,U29AD5))</f>
        <v>7350</v>
      </c>
      <c r="M14" s="262">
        <f t="shared" si="1"/>
        <v>63680</v>
      </c>
      <c r="N14" s="267">
        <f>IF(AG5="G",AI14,IF(AG5="C",AH14,AI5))</f>
        <v>5250</v>
      </c>
      <c r="O14" s="262">
        <f t="shared" si="13"/>
        <v>0</v>
      </c>
      <c r="P14" s="262">
        <f t="shared" si="2"/>
        <v>7350</v>
      </c>
      <c r="Q14" s="262">
        <f t="shared" si="13"/>
        <v>350</v>
      </c>
      <c r="R14" s="262">
        <f t="shared" si="14"/>
        <v>2000</v>
      </c>
      <c r="S14" s="262">
        <f t="shared" si="15"/>
        <v>0</v>
      </c>
      <c r="T14" s="262">
        <f t="shared" si="15"/>
        <v>0</v>
      </c>
      <c r="U14" s="262">
        <v>0</v>
      </c>
      <c r="V14" s="262">
        <f t="shared" si="3"/>
        <v>14950</v>
      </c>
      <c r="W14" s="312">
        <f t="shared" si="4"/>
        <v>48730</v>
      </c>
      <c r="X14" s="134">
        <f>(ROUND((Y14),0))</f>
        <v>1750</v>
      </c>
      <c r="Y14" s="32">
        <f t="shared" si="20"/>
        <v>1750</v>
      </c>
      <c r="Z14" s="334">
        <f>AA14/30</f>
        <v>1750</v>
      </c>
      <c r="AA14" s="335">
        <f t="shared" si="18"/>
        <v>52500</v>
      </c>
      <c r="AB14" s="336" t="s">
        <v>40</v>
      </c>
      <c r="AC14" s="337">
        <f>'Personal Information'!$AF$19</f>
        <v>0</v>
      </c>
      <c r="AD14" s="323">
        <v>0.5</v>
      </c>
      <c r="AE14" s="337">
        <f>'Personal Information'!$AF$34</f>
        <v>0</v>
      </c>
      <c r="AF14" s="32"/>
      <c r="AG14" s="344">
        <f t="shared" si="5"/>
        <v>5250</v>
      </c>
      <c r="AH14" s="32">
        <f t="shared" si="6"/>
        <v>5250</v>
      </c>
      <c r="AI14" s="334">
        <f t="shared" si="16"/>
        <v>0</v>
      </c>
      <c r="AK14" s="353">
        <f t="shared" si="19"/>
        <v>52500</v>
      </c>
      <c r="AL14" s="279">
        <f t="shared" si="7"/>
        <v>7350</v>
      </c>
      <c r="AO14" s="358">
        <v>0</v>
      </c>
      <c r="AQ14" s="279">
        <f t="shared" si="17"/>
        <v>7350</v>
      </c>
      <c r="AR14" s="279">
        <f t="shared" si="21"/>
        <v>7350</v>
      </c>
    </row>
    <row r="15" spans="1:48" ht="18" customHeight="1">
      <c r="A15" s="259">
        <v>8</v>
      </c>
      <c r="B15" s="1106" t="s">
        <v>121</v>
      </c>
      <c r="C15" s="1107"/>
      <c r="D15" s="263">
        <f t="shared" si="8"/>
        <v>24</v>
      </c>
      <c r="E15" s="261">
        <f>SUM(E14+AC15)</f>
        <v>35000</v>
      </c>
      <c r="F15" s="262">
        <f t="shared" si="9"/>
        <v>0</v>
      </c>
      <c r="G15" s="262">
        <v>0</v>
      </c>
      <c r="H15" s="262">
        <f t="shared" si="0"/>
        <v>17500</v>
      </c>
      <c r="I15" s="262">
        <f t="shared" si="10"/>
        <v>280</v>
      </c>
      <c r="J15" s="262">
        <f t="shared" si="11"/>
        <v>3550</v>
      </c>
      <c r="K15" s="262">
        <f t="shared" si="12"/>
        <v>0</v>
      </c>
      <c r="L15" s="262">
        <f>IF(AG5="G",AO15,IF(AG5="C",AQ15,U29AD5))</f>
        <v>7350</v>
      </c>
      <c r="M15" s="262">
        <f t="shared" si="1"/>
        <v>63680</v>
      </c>
      <c r="N15" s="267">
        <f>IF(AG5="G",AI15,IF(AG5="C",AH15,AI5))</f>
        <v>5250</v>
      </c>
      <c r="O15" s="262">
        <f t="shared" si="13"/>
        <v>0</v>
      </c>
      <c r="P15" s="262">
        <f t="shared" si="2"/>
        <v>7350</v>
      </c>
      <c r="Q15" s="262">
        <f t="shared" si="13"/>
        <v>350</v>
      </c>
      <c r="R15" s="262">
        <f t="shared" si="14"/>
        <v>2000</v>
      </c>
      <c r="S15" s="262">
        <f t="shared" si="15"/>
        <v>0</v>
      </c>
      <c r="T15" s="262">
        <f t="shared" si="15"/>
        <v>0</v>
      </c>
      <c r="U15" s="262">
        <v>0</v>
      </c>
      <c r="V15" s="262">
        <f t="shared" si="3"/>
        <v>14950</v>
      </c>
      <c r="W15" s="312">
        <f t="shared" si="4"/>
        <v>48730</v>
      </c>
      <c r="X15" s="134">
        <f>(ROUND((Y15+0),-1))</f>
        <v>0</v>
      </c>
      <c r="Y15" s="32">
        <f t="shared" si="20"/>
        <v>0</v>
      </c>
      <c r="Z15" s="334">
        <v>0</v>
      </c>
      <c r="AA15" s="335">
        <f t="shared" si="18"/>
        <v>52500</v>
      </c>
      <c r="AB15" s="336" t="s">
        <v>41</v>
      </c>
      <c r="AC15" s="337">
        <f>'Personal Information'!$AF$20</f>
        <v>0</v>
      </c>
      <c r="AD15" s="323">
        <v>0.5</v>
      </c>
      <c r="AE15" s="337">
        <f>'Personal Information'!$AF$35</f>
        <v>0</v>
      </c>
      <c r="AF15" s="32"/>
      <c r="AG15" s="344">
        <f t="shared" si="5"/>
        <v>5250</v>
      </c>
      <c r="AH15" s="32">
        <f t="shared" si="6"/>
        <v>5250</v>
      </c>
      <c r="AI15" s="334">
        <f t="shared" si="16"/>
        <v>0</v>
      </c>
      <c r="AJ15" s="32"/>
      <c r="AK15" s="353">
        <f t="shared" si="19"/>
        <v>52500</v>
      </c>
      <c r="AL15" s="279">
        <f t="shared" si="7"/>
        <v>7350</v>
      </c>
      <c r="AO15" s="358">
        <v>0</v>
      </c>
      <c r="AQ15" s="279">
        <f t="shared" si="17"/>
        <v>7350</v>
      </c>
      <c r="AR15" s="279">
        <f t="shared" si="21"/>
        <v>7350</v>
      </c>
    </row>
    <row r="16" spans="1:48" ht="18" customHeight="1">
      <c r="A16" s="259">
        <v>9</v>
      </c>
      <c r="B16" s="1106" t="s">
        <v>267</v>
      </c>
      <c r="C16" s="1107"/>
      <c r="D16" s="263">
        <f t="shared" si="8"/>
        <v>24</v>
      </c>
      <c r="E16" s="261">
        <f>SUM(E15+AC16)</f>
        <v>35000</v>
      </c>
      <c r="F16" s="262">
        <f t="shared" si="9"/>
        <v>0</v>
      </c>
      <c r="G16" s="262">
        <v>0</v>
      </c>
      <c r="H16" s="262">
        <f t="shared" si="0"/>
        <v>18550</v>
      </c>
      <c r="I16" s="262">
        <f t="shared" si="10"/>
        <v>280</v>
      </c>
      <c r="J16" s="262">
        <f t="shared" si="11"/>
        <v>3550</v>
      </c>
      <c r="K16" s="262">
        <f t="shared" si="12"/>
        <v>0</v>
      </c>
      <c r="L16" s="262">
        <f>IF(AG5="G",AO16,IF(AG5="C",AQ16,U29AD5))</f>
        <v>8085</v>
      </c>
      <c r="M16" s="262">
        <f t="shared" si="1"/>
        <v>65465</v>
      </c>
      <c r="N16" s="267">
        <f>IF(AG5="G",AI16,IF(AG5="C",AH16,AI12))</f>
        <v>5355</v>
      </c>
      <c r="O16" s="262">
        <f t="shared" si="13"/>
        <v>0</v>
      </c>
      <c r="P16" s="262">
        <f t="shared" si="2"/>
        <v>8085</v>
      </c>
      <c r="Q16" s="262">
        <f t="shared" si="13"/>
        <v>350</v>
      </c>
      <c r="R16" s="262">
        <f t="shared" si="14"/>
        <v>2000</v>
      </c>
      <c r="S16" s="262">
        <f t="shared" si="15"/>
        <v>0</v>
      </c>
      <c r="T16" s="262">
        <f t="shared" si="15"/>
        <v>0</v>
      </c>
      <c r="U16" s="262">
        <v>0</v>
      </c>
      <c r="V16" s="262">
        <f t="shared" si="3"/>
        <v>15790</v>
      </c>
      <c r="W16" s="312">
        <f t="shared" si="4"/>
        <v>49675</v>
      </c>
      <c r="X16" s="134">
        <f>(ROUND((Y16+0),-1))</f>
        <v>0</v>
      </c>
      <c r="Y16" s="32">
        <f t="shared" si="20"/>
        <v>0</v>
      </c>
      <c r="Z16" s="334">
        <v>0</v>
      </c>
      <c r="AA16" s="335">
        <f t="shared" si="18"/>
        <v>53550</v>
      </c>
      <c r="AB16" s="336" t="s">
        <v>43</v>
      </c>
      <c r="AC16" s="337">
        <f>'Personal Information'!$AF$21</f>
        <v>0</v>
      </c>
      <c r="AD16" s="323">
        <f>'Personal Information'!AK22</f>
        <v>0.53</v>
      </c>
      <c r="AE16" s="337">
        <f>'Personal Information'!$AF$36</f>
        <v>0</v>
      </c>
      <c r="AF16" s="32"/>
      <c r="AG16" s="344">
        <f t="shared" si="5"/>
        <v>5355</v>
      </c>
      <c r="AH16" s="32">
        <f t="shared" si="6"/>
        <v>5355</v>
      </c>
      <c r="AI16" s="334">
        <f t="shared" si="16"/>
        <v>0</v>
      </c>
      <c r="AJ16" s="32"/>
      <c r="AK16" s="353">
        <f>E16+H16+H22</f>
        <v>57750</v>
      </c>
      <c r="AL16" s="279">
        <f>ROUND((AK16)*0.14,100)</f>
        <v>8085</v>
      </c>
      <c r="AO16" s="358">
        <v>0</v>
      </c>
      <c r="AQ16" s="279">
        <f>(ROUND((AL16),0))</f>
        <v>8085</v>
      </c>
      <c r="AR16" s="279">
        <f>AQ16</f>
        <v>8085</v>
      </c>
    </row>
    <row r="17" spans="1:44" ht="18" customHeight="1">
      <c r="A17" s="259">
        <v>10</v>
      </c>
      <c r="B17" s="1106" t="s">
        <v>125</v>
      </c>
      <c r="C17" s="1107"/>
      <c r="D17" s="260">
        <f>'Personal Information'!$X$25</f>
        <v>25</v>
      </c>
      <c r="E17" s="261">
        <f>SUM(E16+AC17)</f>
        <v>35000</v>
      </c>
      <c r="F17" s="262">
        <f t="shared" si="9"/>
        <v>0</v>
      </c>
      <c r="G17" s="262">
        <v>0</v>
      </c>
      <c r="H17" s="262">
        <f t="shared" si="0"/>
        <v>18550</v>
      </c>
      <c r="I17" s="262">
        <f t="shared" si="10"/>
        <v>280</v>
      </c>
      <c r="J17" s="262">
        <f t="shared" si="11"/>
        <v>3550</v>
      </c>
      <c r="K17" s="262">
        <f t="shared" si="12"/>
        <v>0</v>
      </c>
      <c r="L17" s="262">
        <f>IF(AG5="G",AO17,IF(AG5="C",AQ17,U29AD5))</f>
        <v>7497</v>
      </c>
      <c r="M17" s="262">
        <f t="shared" si="1"/>
        <v>64877</v>
      </c>
      <c r="N17" s="267">
        <f>IF(AG5="G",AI17,IF(AG5="C",AH17,AI13))</f>
        <v>5355</v>
      </c>
      <c r="O17" s="262">
        <f t="shared" si="13"/>
        <v>0</v>
      </c>
      <c r="P17" s="262">
        <f t="shared" si="2"/>
        <v>7497</v>
      </c>
      <c r="Q17" s="262">
        <f>SUM(Q16)</f>
        <v>350</v>
      </c>
      <c r="R17" s="262">
        <f t="shared" si="14"/>
        <v>2000</v>
      </c>
      <c r="S17" s="262">
        <f t="shared" si="15"/>
        <v>0</v>
      </c>
      <c r="T17" s="262">
        <f t="shared" si="15"/>
        <v>0</v>
      </c>
      <c r="U17" s="262">
        <v>0</v>
      </c>
      <c r="V17" s="262">
        <f t="shared" si="3"/>
        <v>15202</v>
      </c>
      <c r="W17" s="312">
        <f t="shared" si="4"/>
        <v>49675</v>
      </c>
      <c r="X17" s="134">
        <f>(ROUND((Y17+0),-1))</f>
        <v>0</v>
      </c>
      <c r="Y17" s="32">
        <f t="shared" si="20"/>
        <v>0</v>
      </c>
      <c r="Z17" s="334">
        <v>0</v>
      </c>
      <c r="AA17" s="335">
        <f t="shared" si="18"/>
        <v>53550</v>
      </c>
      <c r="AB17" s="336" t="s">
        <v>44</v>
      </c>
      <c r="AC17" s="337">
        <f>'Personal Information'!$AF$22</f>
        <v>0</v>
      </c>
      <c r="AD17" s="323">
        <f>'Personal Information'!AK23</f>
        <v>0.53</v>
      </c>
      <c r="AE17" s="337">
        <f>'Personal Information'!$AF$37</f>
        <v>0</v>
      </c>
      <c r="AF17" s="32"/>
      <c r="AG17" s="344">
        <f t="shared" si="5"/>
        <v>5355</v>
      </c>
      <c r="AH17" s="32">
        <f t="shared" si="6"/>
        <v>5355</v>
      </c>
      <c r="AI17" s="334">
        <f t="shared" si="16"/>
        <v>0</v>
      </c>
      <c r="AJ17" s="32"/>
      <c r="AK17" s="353">
        <f t="shared" si="19"/>
        <v>53550</v>
      </c>
      <c r="AL17" s="279">
        <f t="shared" si="7"/>
        <v>7497</v>
      </c>
      <c r="AO17" s="358">
        <v>0</v>
      </c>
      <c r="AQ17" s="279">
        <f t="shared" si="17"/>
        <v>7497</v>
      </c>
      <c r="AR17" s="279">
        <f t="shared" si="21"/>
        <v>7497</v>
      </c>
    </row>
    <row r="18" spans="1:44" ht="18" customHeight="1">
      <c r="A18" s="259">
        <v>11</v>
      </c>
      <c r="B18" s="1106" t="s">
        <v>268</v>
      </c>
      <c r="C18" s="1107"/>
      <c r="D18" s="260">
        <f>'Personal Information'!$X$26</f>
        <v>25</v>
      </c>
      <c r="E18" s="261">
        <f>SUM(E17+AC18)</f>
        <v>36100</v>
      </c>
      <c r="F18" s="262">
        <f t="shared" si="9"/>
        <v>0</v>
      </c>
      <c r="G18" s="262">
        <v>0</v>
      </c>
      <c r="H18" s="262">
        <f t="shared" si="0"/>
        <v>19133</v>
      </c>
      <c r="I18" s="262">
        <f t="shared" si="10"/>
        <v>280</v>
      </c>
      <c r="J18" s="262">
        <f t="shared" si="11"/>
        <v>3550</v>
      </c>
      <c r="K18" s="262">
        <f t="shared" si="12"/>
        <v>0</v>
      </c>
      <c r="L18" s="262">
        <f>IF(AG5="G",AO18,IF(AG5="C",AQ18,U29AD5))</f>
        <v>7733</v>
      </c>
      <c r="M18" s="262">
        <f t="shared" si="1"/>
        <v>66796</v>
      </c>
      <c r="N18" s="267">
        <f>IF(AG5="G",AI18,IF(AG5="C",AH18,AI14))</f>
        <v>5523</v>
      </c>
      <c r="O18" s="262">
        <f t="shared" si="13"/>
        <v>0</v>
      </c>
      <c r="P18" s="262">
        <f t="shared" si="2"/>
        <v>7733</v>
      </c>
      <c r="Q18" s="262">
        <f t="shared" ref="Q18:Q19" si="22">SUM(Q17)</f>
        <v>350</v>
      </c>
      <c r="R18" s="262">
        <f t="shared" si="14"/>
        <v>2000</v>
      </c>
      <c r="S18" s="262">
        <f t="shared" si="15"/>
        <v>0</v>
      </c>
      <c r="T18" s="262">
        <f t="shared" si="15"/>
        <v>0</v>
      </c>
      <c r="U18" s="262">
        <v>0</v>
      </c>
      <c r="V18" s="262">
        <f t="shared" si="3"/>
        <v>15606</v>
      </c>
      <c r="W18" s="312">
        <f t="shared" si="4"/>
        <v>51190</v>
      </c>
      <c r="X18" s="134">
        <f>(ROUND((Y18+0),-1))</f>
        <v>0</v>
      </c>
      <c r="Y18" s="32">
        <f t="shared" si="20"/>
        <v>0</v>
      </c>
      <c r="Z18" s="334">
        <v>0</v>
      </c>
      <c r="AA18" s="335">
        <f t="shared" si="18"/>
        <v>55233</v>
      </c>
      <c r="AB18" s="336" t="s">
        <v>45</v>
      </c>
      <c r="AC18" s="337">
        <f>'Personal Information'!$AF$23</f>
        <v>1100</v>
      </c>
      <c r="AD18" s="323">
        <f>'Personal Information'!AK24</f>
        <v>0.53</v>
      </c>
      <c r="AE18" s="337">
        <f>'Personal Information'!$AF$38</f>
        <v>0</v>
      </c>
      <c r="AF18" s="32"/>
      <c r="AG18" s="344">
        <f>ROUND((E18+H18)*0.1,0)</f>
        <v>5523</v>
      </c>
      <c r="AH18" s="32">
        <f t="shared" si="6"/>
        <v>5523</v>
      </c>
      <c r="AI18" s="334">
        <f t="shared" si="16"/>
        <v>0</v>
      </c>
      <c r="AJ18" s="32"/>
      <c r="AK18" s="353">
        <f>E18+H18</f>
        <v>55233</v>
      </c>
      <c r="AL18" s="279">
        <f>ROUND((AK18)*0.14,100)</f>
        <v>7732.62</v>
      </c>
      <c r="AO18" s="358">
        <v>0</v>
      </c>
      <c r="AQ18" s="279">
        <f t="shared" si="17"/>
        <v>7733</v>
      </c>
      <c r="AR18" s="279">
        <f t="shared" si="21"/>
        <v>7733</v>
      </c>
    </row>
    <row r="19" spans="1:44" ht="18" customHeight="1">
      <c r="A19" s="259">
        <v>12</v>
      </c>
      <c r="B19" s="1108" t="s">
        <v>132</v>
      </c>
      <c r="C19" s="1109"/>
      <c r="D19" s="47">
        <f>'Personal Information'!$X$27</f>
        <v>25</v>
      </c>
      <c r="E19" s="261">
        <f>SUM(E18+AC19)</f>
        <v>36100</v>
      </c>
      <c r="F19" s="262">
        <f t="shared" si="9"/>
        <v>0</v>
      </c>
      <c r="G19" s="262">
        <v>0</v>
      </c>
      <c r="H19" s="262">
        <f t="shared" si="0"/>
        <v>19133</v>
      </c>
      <c r="I19" s="262">
        <f t="shared" si="10"/>
        <v>280</v>
      </c>
      <c r="J19" s="262">
        <f t="shared" si="11"/>
        <v>3550</v>
      </c>
      <c r="K19" s="262">
        <f t="shared" si="12"/>
        <v>0</v>
      </c>
      <c r="L19" s="262">
        <f>IF(AG5="G",AO19,IF(AG5="C",AQ19,U29AD5))</f>
        <v>7733</v>
      </c>
      <c r="M19" s="262">
        <f t="shared" si="1"/>
        <v>66796</v>
      </c>
      <c r="N19" s="267">
        <f>IF(AG5="G",AI19,IF(AG5="C",AH19,AI15))</f>
        <v>5523</v>
      </c>
      <c r="O19" s="262">
        <f t="shared" si="13"/>
        <v>0</v>
      </c>
      <c r="P19" s="262">
        <f t="shared" si="2"/>
        <v>7733</v>
      </c>
      <c r="Q19" s="262">
        <f t="shared" si="22"/>
        <v>350</v>
      </c>
      <c r="R19" s="262">
        <v>0</v>
      </c>
      <c r="S19" s="262">
        <f t="shared" si="15"/>
        <v>0</v>
      </c>
      <c r="T19" s="262">
        <f>T18</f>
        <v>0</v>
      </c>
      <c r="U19" s="262">
        <v>0</v>
      </c>
      <c r="V19" s="262">
        <f t="shared" si="3"/>
        <v>13606</v>
      </c>
      <c r="W19" s="312">
        <f t="shared" si="4"/>
        <v>53190</v>
      </c>
      <c r="X19" s="134">
        <f>(ROUND((Y19+0),-1))</f>
        <v>0</v>
      </c>
      <c r="Y19" s="32">
        <f t="shared" si="20"/>
        <v>0</v>
      </c>
      <c r="Z19" s="334">
        <v>0</v>
      </c>
      <c r="AA19" s="335">
        <f t="shared" si="18"/>
        <v>55233</v>
      </c>
      <c r="AB19" s="340" t="s">
        <v>269</v>
      </c>
      <c r="AC19" s="341">
        <f>'Personal Information'!$AF$24</f>
        <v>0</v>
      </c>
      <c r="AD19" s="323">
        <f>'Personal Information'!AK25</f>
        <v>0.53</v>
      </c>
      <c r="AE19" s="341"/>
      <c r="AF19" s="32"/>
      <c r="AG19" s="344">
        <f t="shared" si="5"/>
        <v>5523</v>
      </c>
      <c r="AH19" s="32">
        <f t="shared" si="6"/>
        <v>5523</v>
      </c>
      <c r="AI19" s="334">
        <f t="shared" si="16"/>
        <v>0</v>
      </c>
      <c r="AJ19" s="32"/>
      <c r="AK19" s="353">
        <f>E19+H19</f>
        <v>55233</v>
      </c>
      <c r="AL19" s="279">
        <f t="shared" si="7"/>
        <v>7732.62</v>
      </c>
      <c r="AO19" s="358">
        <v>0</v>
      </c>
      <c r="AQ19" s="279">
        <f t="shared" si="17"/>
        <v>7733</v>
      </c>
      <c r="AR19" s="279">
        <f t="shared" si="21"/>
        <v>7733</v>
      </c>
    </row>
    <row r="20" spans="1:44" s="242" customFormat="1" ht="18" customHeight="1">
      <c r="A20" s="264">
        <v>13</v>
      </c>
      <c r="B20" s="1110" t="s">
        <v>98</v>
      </c>
      <c r="C20" s="1111"/>
      <c r="D20" s="1112"/>
      <c r="E20" s="265">
        <f>'Personal Information'!AF105</f>
        <v>6908</v>
      </c>
      <c r="F20" s="265">
        <v>0</v>
      </c>
      <c r="G20" s="266">
        <v>0</v>
      </c>
      <c r="H20" s="266">
        <v>0</v>
      </c>
      <c r="I20" s="265">
        <v>0</v>
      </c>
      <c r="J20" s="265">
        <v>0</v>
      </c>
      <c r="K20" s="265">
        <v>0</v>
      </c>
      <c r="L20" s="265">
        <v>0</v>
      </c>
      <c r="M20" s="265">
        <f>E20</f>
        <v>6908</v>
      </c>
      <c r="N20" s="298">
        <v>0</v>
      </c>
      <c r="O20" s="299">
        <v>0</v>
      </c>
      <c r="P20" s="299">
        <v>0</v>
      </c>
      <c r="Q20" s="265">
        <v>0</v>
      </c>
      <c r="R20" s="265">
        <v>0</v>
      </c>
      <c r="S20" s="265">
        <v>0</v>
      </c>
      <c r="T20" s="265">
        <v>0</v>
      </c>
      <c r="U20" s="265">
        <v>0</v>
      </c>
      <c r="V20" s="265">
        <f t="shared" si="3"/>
        <v>0</v>
      </c>
      <c r="W20" s="313">
        <f t="shared" si="4"/>
        <v>6908</v>
      </c>
      <c r="X20" s="314"/>
      <c r="Y20" s="342"/>
      <c r="Z20" s="342"/>
      <c r="AA20" s="342"/>
      <c r="AB20" s="342"/>
      <c r="AC20" s="342"/>
      <c r="AE20" s="342"/>
      <c r="AF20" s="342"/>
      <c r="AG20" s="342"/>
      <c r="AH20" s="342"/>
      <c r="AI20" s="354"/>
      <c r="AJ20" s="342"/>
      <c r="AL20" s="355">
        <f>SUM(AL8:AL19)</f>
        <v>90239.239999999991</v>
      </c>
      <c r="AO20" s="359"/>
    </row>
    <row r="21" spans="1:44" ht="18" customHeight="1">
      <c r="A21" s="259">
        <v>14</v>
      </c>
      <c r="B21" s="1113" t="s">
        <v>270</v>
      </c>
      <c r="C21" s="1114"/>
      <c r="D21" s="1115"/>
      <c r="E21" s="261">
        <v>0</v>
      </c>
      <c r="F21" s="262">
        <v>0</v>
      </c>
      <c r="G21" s="262">
        <v>0</v>
      </c>
      <c r="H21" s="267">
        <f>H35</f>
        <v>2800</v>
      </c>
      <c r="I21" s="262">
        <v>0</v>
      </c>
      <c r="J21" s="262">
        <v>0</v>
      </c>
      <c r="K21" s="262">
        <v>0</v>
      </c>
      <c r="L21" s="262">
        <v>0</v>
      </c>
      <c r="M21" s="262">
        <f>H21</f>
        <v>2800</v>
      </c>
      <c r="N21" s="267">
        <f>IF(AG5="G",AA32,IF(AG5="C",AC25))</f>
        <v>280</v>
      </c>
      <c r="O21" s="300">
        <v>0</v>
      </c>
      <c r="P21" s="300">
        <v>0</v>
      </c>
      <c r="Q21" s="262">
        <v>0</v>
      </c>
      <c r="R21" s="262">
        <v>0</v>
      </c>
      <c r="S21" s="262">
        <v>0</v>
      </c>
      <c r="T21" s="262">
        <v>0</v>
      </c>
      <c r="U21" s="262">
        <v>0</v>
      </c>
      <c r="V21" s="262">
        <f t="shared" si="3"/>
        <v>280</v>
      </c>
      <c r="W21" s="312">
        <f>H21-N21</f>
        <v>2520</v>
      </c>
      <c r="X21" s="134"/>
      <c r="Y21" s="32"/>
      <c r="Z21" s="32"/>
      <c r="AB21" s="343"/>
      <c r="AC21" s="32"/>
      <c r="AD21" s="32"/>
      <c r="AE21" s="32"/>
      <c r="AF21" s="32"/>
      <c r="AG21" s="32"/>
      <c r="AH21" s="32">
        <f>SUM(AH8:AH20)</f>
        <v>63756</v>
      </c>
      <c r="AI21" s="334"/>
      <c r="AJ21" s="32"/>
      <c r="AL21">
        <f>ROUNDUP(IF(AL20&lt;=0,0,AL20),50-50)</f>
        <v>90240</v>
      </c>
    </row>
    <row r="22" spans="1:44" ht="18" customHeight="1">
      <c r="A22" s="259">
        <v>15</v>
      </c>
      <c r="B22" s="1113" t="s">
        <v>271</v>
      </c>
      <c r="C22" s="1114"/>
      <c r="D22" s="1115"/>
      <c r="E22" s="268">
        <v>0</v>
      </c>
      <c r="F22" s="262">
        <v>0</v>
      </c>
      <c r="G22" s="262">
        <v>0</v>
      </c>
      <c r="H22" s="267">
        <f>K34</f>
        <v>4200</v>
      </c>
      <c r="I22" s="262">
        <v>0</v>
      </c>
      <c r="J22" s="262">
        <v>0</v>
      </c>
      <c r="K22" s="262">
        <v>0</v>
      </c>
      <c r="L22" s="262">
        <v>0</v>
      </c>
      <c r="M22" s="262">
        <f>H22</f>
        <v>4200</v>
      </c>
      <c r="N22" s="267">
        <f>IF(AG5="G",AA32,IF(AG5="C",AC26))</f>
        <v>420</v>
      </c>
      <c r="O22" s="300">
        <v>0</v>
      </c>
      <c r="P22" s="300">
        <v>0</v>
      </c>
      <c r="Q22" s="262">
        <v>0</v>
      </c>
      <c r="R22" s="262">
        <v>0</v>
      </c>
      <c r="S22" s="262">
        <v>0</v>
      </c>
      <c r="T22" s="262">
        <v>0</v>
      </c>
      <c r="U22" s="262">
        <v>0</v>
      </c>
      <c r="V22" s="262">
        <f t="shared" si="3"/>
        <v>420</v>
      </c>
      <c r="W22" s="312">
        <f>H22-N22</f>
        <v>3780</v>
      </c>
      <c r="X22" s="134"/>
      <c r="Y22" s="32"/>
      <c r="Z22" s="32"/>
      <c r="AB22" s="32"/>
      <c r="AC22" s="344">
        <f>F22</f>
        <v>0</v>
      </c>
      <c r="AD22" s="344">
        <f>ROUND(AC22*0.1,0)</f>
        <v>0</v>
      </c>
      <c r="AE22" s="344">
        <f>ROUND((AD22),-1)</f>
        <v>0</v>
      </c>
      <c r="AF22" s="344">
        <f>ROUND((AD22+10),-1)</f>
        <v>10</v>
      </c>
      <c r="AH22" s="32"/>
      <c r="AI22" s="32"/>
      <c r="AJ22" s="32"/>
    </row>
    <row r="23" spans="1:44" s="243" customFormat="1" ht="18" customHeight="1">
      <c r="A23" s="269">
        <v>16</v>
      </c>
      <c r="B23" s="1091" t="s">
        <v>272</v>
      </c>
      <c r="C23" s="1092"/>
      <c r="D23" s="1093"/>
      <c r="E23" s="270">
        <v>0</v>
      </c>
      <c r="F23" s="271">
        <v>0</v>
      </c>
      <c r="G23" s="271">
        <v>0</v>
      </c>
      <c r="H23" s="271">
        <v>0</v>
      </c>
      <c r="I23" s="271">
        <v>0</v>
      </c>
      <c r="J23" s="271">
        <v>0</v>
      </c>
      <c r="K23" s="271">
        <v>0</v>
      </c>
      <c r="L23" s="271">
        <v>0</v>
      </c>
      <c r="M23" s="271">
        <f>E23</f>
        <v>0</v>
      </c>
      <c r="N23" s="271">
        <f>IF(AE26="G",AF28,IF(AE26="C",AE28,AF28))</f>
        <v>0</v>
      </c>
      <c r="O23" s="271">
        <v>0</v>
      </c>
      <c r="P23" s="271">
        <v>0</v>
      </c>
      <c r="Q23" s="271">
        <v>0</v>
      </c>
      <c r="R23" s="271">
        <f>AA29</f>
        <v>0</v>
      </c>
      <c r="S23" s="271">
        <f>AB29</f>
        <v>0</v>
      </c>
      <c r="T23" s="271">
        <v>0</v>
      </c>
      <c r="U23" s="271">
        <v>0</v>
      </c>
      <c r="V23" s="271">
        <f>N23+R23</f>
        <v>0</v>
      </c>
      <c r="W23" s="315">
        <f>M23-V23</f>
        <v>0</v>
      </c>
      <c r="X23" s="316"/>
      <c r="Y23" s="345"/>
      <c r="Z23" s="345"/>
      <c r="AA23" s="345"/>
      <c r="AB23" s="345"/>
      <c r="AC23" s="345"/>
      <c r="AD23" s="345"/>
      <c r="AE23" s="345"/>
      <c r="AF23" s="345"/>
      <c r="AG23" s="345"/>
      <c r="AH23" s="345"/>
      <c r="AI23" s="345"/>
      <c r="AJ23" s="345"/>
    </row>
    <row r="24" spans="1:44" s="244" customFormat="1" ht="18" customHeight="1">
      <c r="A24" s="272">
        <v>17</v>
      </c>
      <c r="B24" s="1094" t="s">
        <v>273</v>
      </c>
      <c r="C24" s="1095"/>
      <c r="D24" s="1096"/>
      <c r="E24" s="273">
        <f>'Personal Information'!AF6</f>
        <v>0</v>
      </c>
      <c r="F24" s="274">
        <v>0</v>
      </c>
      <c r="G24" s="274">
        <v>0</v>
      </c>
      <c r="H24" s="274">
        <v>0</v>
      </c>
      <c r="I24" s="274">
        <v>0</v>
      </c>
      <c r="J24" s="274">
        <v>0</v>
      </c>
      <c r="K24" s="274">
        <v>0</v>
      </c>
      <c r="L24" s="274">
        <v>0</v>
      </c>
      <c r="M24" s="274">
        <f>E24</f>
        <v>0</v>
      </c>
      <c r="N24" s="271">
        <f>IF(AE26="G",AF29,IF(AE26="C",AE29,AF29))</f>
        <v>0</v>
      </c>
      <c r="O24" s="274">
        <v>0</v>
      </c>
      <c r="P24" s="274">
        <v>0</v>
      </c>
      <c r="Q24" s="274">
        <v>0</v>
      </c>
      <c r="R24" s="274">
        <f>'Personal Information'!AJ8</f>
        <v>0</v>
      </c>
      <c r="S24" s="274">
        <f>'Personal Information'!AK8</f>
        <v>0</v>
      </c>
      <c r="T24" s="274">
        <v>0</v>
      </c>
      <c r="U24" s="274">
        <v>0</v>
      </c>
      <c r="V24" s="274">
        <f>N24+R24</f>
        <v>0</v>
      </c>
      <c r="W24" s="315">
        <f>M24-V24</f>
        <v>0</v>
      </c>
      <c r="X24" s="316"/>
      <c r="Y24" s="346">
        <f>ROUNDUP(IF(L27&lt;=0,0,L27),50-50)</f>
        <v>90240</v>
      </c>
      <c r="Z24" s="346"/>
      <c r="AA24" s="346"/>
      <c r="AB24" s="346"/>
      <c r="AC24" s="346"/>
      <c r="AD24" s="346"/>
      <c r="AE24" s="346"/>
      <c r="AF24" s="346"/>
      <c r="AG24" s="346"/>
      <c r="AH24" s="346"/>
      <c r="AI24" s="346"/>
      <c r="AJ24" s="346"/>
    </row>
    <row r="25" spans="1:44" s="243" customFormat="1" ht="18" customHeight="1">
      <c r="A25" s="269">
        <v>18</v>
      </c>
      <c r="B25" s="1097" t="s">
        <v>106</v>
      </c>
      <c r="C25" s="1098"/>
      <c r="D25" s="1099"/>
      <c r="E25" s="271">
        <f>'Personal Information'!AF10</f>
        <v>0</v>
      </c>
      <c r="F25" s="271">
        <v>0</v>
      </c>
      <c r="G25" s="271">
        <v>0</v>
      </c>
      <c r="H25" s="271">
        <v>0</v>
      </c>
      <c r="I25" s="271">
        <v>0</v>
      </c>
      <c r="J25" s="271">
        <v>0</v>
      </c>
      <c r="K25" s="271">
        <v>0</v>
      </c>
      <c r="L25" s="271">
        <v>0</v>
      </c>
      <c r="M25" s="271">
        <f>E25</f>
        <v>0</v>
      </c>
      <c r="N25" s="271">
        <v>0</v>
      </c>
      <c r="O25" s="271">
        <v>0</v>
      </c>
      <c r="P25" s="271">
        <v>0</v>
      </c>
      <c r="Q25" s="271">
        <v>0</v>
      </c>
      <c r="R25" s="271">
        <v>0</v>
      </c>
      <c r="S25" s="271">
        <v>0</v>
      </c>
      <c r="T25" s="271">
        <v>0</v>
      </c>
      <c r="U25" s="271">
        <v>0</v>
      </c>
      <c r="V25" s="271">
        <f>SUM(N25:U25)</f>
        <v>0</v>
      </c>
      <c r="W25" s="315">
        <f>M25-V25</f>
        <v>0</v>
      </c>
      <c r="X25" s="316"/>
      <c r="Y25" s="345"/>
      <c r="Z25" s="345"/>
      <c r="AB25" s="345" t="s">
        <v>274</v>
      </c>
      <c r="AC25" s="345">
        <f>ROUND(H21*0.1,0)</f>
        <v>280</v>
      </c>
      <c r="AD25" s="345"/>
      <c r="AE25" s="347" t="s">
        <v>229</v>
      </c>
      <c r="AF25" s="347" t="s">
        <v>230</v>
      </c>
      <c r="AG25" s="735" t="s">
        <v>231</v>
      </c>
      <c r="AH25" s="356" t="s">
        <v>232</v>
      </c>
      <c r="AI25" s="345"/>
      <c r="AJ25" s="345"/>
    </row>
    <row r="26" spans="1:44" ht="18" customHeight="1">
      <c r="A26" s="259">
        <v>19</v>
      </c>
      <c r="B26" s="1100"/>
      <c r="C26" s="1101"/>
      <c r="D26" s="1102"/>
      <c r="E26" s="275">
        <v>0</v>
      </c>
      <c r="F26" s="267">
        <v>0</v>
      </c>
      <c r="G26" s="267">
        <v>0</v>
      </c>
      <c r="H26" s="267">
        <v>0</v>
      </c>
      <c r="I26" s="267">
        <v>0</v>
      </c>
      <c r="J26" s="267">
        <v>0</v>
      </c>
      <c r="K26" s="267">
        <v>0</v>
      </c>
      <c r="L26" s="267">
        <v>0</v>
      </c>
      <c r="M26" s="267">
        <v>0</v>
      </c>
      <c r="N26" s="267">
        <v>0</v>
      </c>
      <c r="O26" s="267">
        <v>0</v>
      </c>
      <c r="P26" s="267">
        <v>0</v>
      </c>
      <c r="Q26" s="267">
        <v>0</v>
      </c>
      <c r="R26" s="267">
        <v>0</v>
      </c>
      <c r="S26" s="267">
        <v>0</v>
      </c>
      <c r="T26" s="267">
        <v>0</v>
      </c>
      <c r="U26" s="267">
        <v>0</v>
      </c>
      <c r="V26" s="267">
        <f>SUM(N26:R26)</f>
        <v>0</v>
      </c>
      <c r="W26" s="317">
        <v>0</v>
      </c>
      <c r="X26" s="318"/>
      <c r="Y26" s="32">
        <f>Y24</f>
        <v>90240</v>
      </c>
      <c r="Z26" s="32"/>
      <c r="AB26" s="32" t="s">
        <v>275</v>
      </c>
      <c r="AC26" s="32">
        <f>ROUND(H22*0.1,0)</f>
        <v>420</v>
      </c>
      <c r="AD26" s="32"/>
      <c r="AE26" s="323" t="str">
        <f>'Personal Information'!$M$11</f>
        <v>C</v>
      </c>
      <c r="AF26" s="51" t="s">
        <v>248</v>
      </c>
      <c r="AG26" s="51" t="s">
        <v>248</v>
      </c>
      <c r="AH26" s="7">
        <v>0</v>
      </c>
      <c r="AI26" s="32"/>
      <c r="AJ26" s="32"/>
    </row>
    <row r="27" spans="1:44" s="245" customFormat="1" ht="18" customHeight="1">
      <c r="A27" s="1103" t="s">
        <v>276</v>
      </c>
      <c r="B27" s="1104"/>
      <c r="C27" s="1104"/>
      <c r="D27" s="1105"/>
      <c r="E27" s="276">
        <f>SUM(E8:E26)</f>
        <v>429108</v>
      </c>
      <c r="F27" s="276">
        <f t="shared" ref="F27:P27" si="23">SUM(F8:F26)</f>
        <v>0</v>
      </c>
      <c r="G27" s="276">
        <f t="shared" si="23"/>
        <v>0</v>
      </c>
      <c r="H27" s="276">
        <f t="shared" si="23"/>
        <v>222366</v>
      </c>
      <c r="I27" s="276">
        <f t="shared" si="23"/>
        <v>3360</v>
      </c>
      <c r="J27" s="276">
        <f t="shared" si="23"/>
        <v>42600</v>
      </c>
      <c r="K27" s="276">
        <f t="shared" si="23"/>
        <v>0</v>
      </c>
      <c r="L27" s="276">
        <f t="shared" si="23"/>
        <v>90240</v>
      </c>
      <c r="M27" s="276">
        <f t="shared" si="23"/>
        <v>787674</v>
      </c>
      <c r="N27" s="276">
        <f t="shared" si="23"/>
        <v>64456</v>
      </c>
      <c r="O27" s="276">
        <f t="shared" si="23"/>
        <v>0</v>
      </c>
      <c r="P27" s="276">
        <f t="shared" si="23"/>
        <v>90240</v>
      </c>
      <c r="Q27" s="276">
        <f t="shared" ref="Q27:W27" si="24">SUM(Q8:Q26)</f>
        <v>4200</v>
      </c>
      <c r="R27" s="276">
        <f t="shared" si="24"/>
        <v>22000</v>
      </c>
      <c r="S27" s="276">
        <f t="shared" si="24"/>
        <v>0</v>
      </c>
      <c r="T27" s="276">
        <f t="shared" si="24"/>
        <v>0</v>
      </c>
      <c r="U27" s="276">
        <f t="shared" si="24"/>
        <v>0</v>
      </c>
      <c r="V27" s="276">
        <f t="shared" si="24"/>
        <v>180896</v>
      </c>
      <c r="W27" s="276">
        <f t="shared" si="24"/>
        <v>606778</v>
      </c>
      <c r="X27" s="319"/>
      <c r="Y27" s="348"/>
      <c r="Z27" s="348"/>
      <c r="AA27" s="1088"/>
      <c r="AB27" s="1088"/>
      <c r="AC27" s="348"/>
      <c r="AD27" s="348"/>
      <c r="AE27" s="349" t="s">
        <v>263</v>
      </c>
      <c r="AF27" s="349" t="s">
        <v>264</v>
      </c>
      <c r="AG27" s="348"/>
      <c r="AH27" s="348"/>
      <c r="AI27" s="348"/>
      <c r="AJ27" s="348"/>
    </row>
    <row r="28" spans="1:44" s="7" customFormat="1" ht="10.5" customHeight="1">
      <c r="Y28" s="24"/>
      <c r="Z28" s="24"/>
      <c r="AA28" s="24"/>
      <c r="AB28" s="24"/>
      <c r="AC28" s="24"/>
      <c r="AD28" s="24"/>
      <c r="AE28" s="32">
        <f>ROUND((E23+H23)*0.1,0)</f>
        <v>0</v>
      </c>
      <c r="AF28" s="350">
        <f>AD30</f>
        <v>0</v>
      </c>
      <c r="AG28" s="24"/>
      <c r="AH28" s="24"/>
      <c r="AI28" s="24"/>
      <c r="AJ28" s="24"/>
    </row>
    <row r="29" spans="1:44" s="7" customFormat="1" ht="15">
      <c r="C29" s="211" t="s">
        <v>277</v>
      </c>
      <c r="D29" s="211"/>
      <c r="E29" s="211"/>
      <c r="F29" s="211"/>
      <c r="G29" s="211"/>
      <c r="M29" s="1089" t="s">
        <v>278</v>
      </c>
      <c r="N29" s="1089"/>
      <c r="O29" s="124"/>
      <c r="P29" s="124"/>
      <c r="Q29" s="124"/>
      <c r="R29" s="124"/>
      <c r="S29" s="124"/>
      <c r="T29" s="124"/>
      <c r="U29" s="124"/>
      <c r="V29" s="124"/>
      <c r="W29" s="211"/>
      <c r="X29" s="211"/>
      <c r="AA29" s="7">
        <f>'Personal Information'!AJ7</f>
        <v>0</v>
      </c>
      <c r="AE29" s="32">
        <f>ROUND((E24+H24)*0.1,0)</f>
        <v>0</v>
      </c>
      <c r="AF29" s="350">
        <f>AD31</f>
        <v>0</v>
      </c>
    </row>
    <row r="30" spans="1:44" s="7" customFormat="1" ht="14.25">
      <c r="C30" s="7" t="str">
        <f>IF(E46="Scert",F48,IF(E46="Dyeo",E48,IF(E46="Beo",C71,IF(E46="SECRETARY EDUCATION BOARD",H68,IF(E46="Distric Minorty Welfare",H70,IF(E46="Ceo",C69,IF(E46="Deo Elementary",C67,IF(E46="DIRECTOR SECONDARY",C65,IF(E46="Principal",C48,IF(E46="DDO",C63,IF(E46="Treasury",C73)))))))))))</f>
        <v>Principal</v>
      </c>
      <c r="E30" s="211"/>
      <c r="F30" s="211"/>
      <c r="G30" s="211"/>
      <c r="M30" s="1089" t="s">
        <v>279</v>
      </c>
      <c r="N30" s="1089"/>
      <c r="O30" s="248" t="str">
        <f>F2</f>
        <v>VIKAS</v>
      </c>
      <c r="P30" s="248"/>
      <c r="Q30" s="223"/>
      <c r="R30" s="223"/>
      <c r="S30" s="223"/>
      <c r="T30" s="223"/>
      <c r="U30" s="223"/>
      <c r="V30" s="320"/>
      <c r="W30" s="197"/>
      <c r="X30" s="197"/>
      <c r="AA30" s="7">
        <f>'Personal Information'!AJ8</f>
        <v>0</v>
      </c>
      <c r="AD30" s="113">
        <f>E23-AA29</f>
        <v>0</v>
      </c>
    </row>
    <row r="31" spans="1:44" s="7" customFormat="1" ht="14.25">
      <c r="F31" s="211"/>
      <c r="G31" s="211"/>
      <c r="M31" s="1090" t="s">
        <v>226</v>
      </c>
      <c r="N31" s="1090"/>
      <c r="O31" s="130">
        <f>'Personal Information'!$C$6</f>
        <v>0</v>
      </c>
      <c r="P31" s="130"/>
      <c r="Q31" s="130"/>
      <c r="R31" s="130"/>
      <c r="S31" s="130"/>
      <c r="T31" s="130"/>
      <c r="U31" s="130"/>
      <c r="V31" s="51"/>
      <c r="W31" s="197"/>
      <c r="X31" s="197"/>
      <c r="AD31" s="113">
        <f>E24-AA30</f>
        <v>0</v>
      </c>
    </row>
    <row r="32" spans="1:44" s="7" customFormat="1" ht="14.25">
      <c r="F32" s="211"/>
      <c r="G32" s="211"/>
      <c r="M32" s="1089" t="s">
        <v>280</v>
      </c>
      <c r="N32" s="1089"/>
      <c r="O32" s="1080" t="str">
        <f>C55</f>
        <v>0 0 TEHRI</v>
      </c>
      <c r="P32" s="1080"/>
      <c r="Q32" s="1080"/>
      <c r="R32" s="1080"/>
      <c r="S32" s="223"/>
      <c r="T32" s="223"/>
      <c r="U32" s="223"/>
      <c r="V32" s="130"/>
      <c r="W32" s="130"/>
      <c r="X32" s="130"/>
      <c r="AA32" s="7">
        <v>0</v>
      </c>
    </row>
    <row r="33" spans="1:46" s="7" customFormat="1" ht="15" hidden="1">
      <c r="E33" s="113"/>
      <c r="F33" s="211"/>
      <c r="G33" s="211"/>
      <c r="M33" s="211"/>
      <c r="N33" s="124"/>
      <c r="O33" s="130"/>
      <c r="P33" s="130"/>
      <c r="Q33" s="130"/>
      <c r="R33" s="1080"/>
      <c r="S33" s="1080"/>
      <c r="T33" s="1080"/>
      <c r="U33" s="1080"/>
      <c r="V33" s="1080"/>
      <c r="W33" s="51"/>
      <c r="X33" s="51"/>
    </row>
    <row r="34" spans="1:46" s="7" customFormat="1" ht="14.25" hidden="1">
      <c r="F34" s="211"/>
      <c r="G34" s="211"/>
      <c r="H34" s="736" t="s">
        <v>231</v>
      </c>
      <c r="I34" s="211"/>
      <c r="J34" s="211"/>
      <c r="K34" s="211">
        <f>ROUND((E16*3%)*4,0)</f>
        <v>4200</v>
      </c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</row>
    <row r="35" spans="1:46" s="7" customFormat="1" ht="14.25" hidden="1">
      <c r="F35" s="211"/>
      <c r="G35" s="211"/>
      <c r="H35" s="211">
        <f>ROUND((E8*4%)*2,0)</f>
        <v>2800</v>
      </c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AG35" s="357"/>
    </row>
    <row r="36" spans="1:46" s="7" customFormat="1" ht="23.25" hidden="1">
      <c r="A36" s="277"/>
      <c r="B36" s="278"/>
      <c r="C36" s="278"/>
      <c r="D36" s="278"/>
      <c r="F36" s="278"/>
      <c r="G36" s="278"/>
      <c r="H36" s="278"/>
      <c r="O36" s="278"/>
      <c r="P36" s="278"/>
      <c r="Q36" s="321"/>
      <c r="R36" s="321"/>
      <c r="S36" s="322">
        <v>9610</v>
      </c>
      <c r="T36" s="322">
        <v>9610</v>
      </c>
      <c r="U36" s="322">
        <v>9610</v>
      </c>
      <c r="V36" s="322">
        <v>10540</v>
      </c>
      <c r="W36" s="322">
        <v>10846</v>
      </c>
      <c r="X36" s="322">
        <v>10846</v>
      </c>
      <c r="Y36" s="322">
        <v>10846</v>
      </c>
      <c r="Z36" s="322">
        <v>10846</v>
      </c>
      <c r="AA36" s="322">
        <v>12122</v>
      </c>
      <c r="AB36" s="322">
        <v>12122</v>
      </c>
    </row>
    <row r="37" spans="1:46" s="7" customFormat="1" hidden="1">
      <c r="B37"/>
      <c r="C37"/>
      <c r="D37"/>
      <c r="E37"/>
      <c r="F37"/>
      <c r="G37"/>
      <c r="H37" s="113"/>
      <c r="AG37" s="357"/>
    </row>
    <row r="38" spans="1:46" s="7" customFormat="1" hidden="1">
      <c r="B38"/>
      <c r="C38"/>
      <c r="D38"/>
      <c r="E38"/>
      <c r="F38" s="279">
        <f>H21</f>
        <v>2800</v>
      </c>
      <c r="G38" s="279"/>
    </row>
    <row r="39" spans="1:46" s="7" customFormat="1" hidden="1">
      <c r="B39"/>
      <c r="C39"/>
      <c r="D39"/>
      <c r="E39"/>
      <c r="F39" s="279">
        <f>H22</f>
        <v>4200</v>
      </c>
      <c r="G39" s="279"/>
    </row>
    <row r="40" spans="1:46" s="7" customFormat="1" hidden="1">
      <c r="B40"/>
      <c r="C40"/>
      <c r="D40"/>
      <c r="E40"/>
      <c r="F40"/>
      <c r="G40"/>
      <c r="U40" s="323"/>
    </row>
    <row r="41" spans="1:46" s="7" customFormat="1" hidden="1">
      <c r="B41"/>
      <c r="C41"/>
      <c r="D41"/>
      <c r="E41"/>
      <c r="F41"/>
      <c r="G41"/>
      <c r="U41" s="323"/>
    </row>
    <row r="42" spans="1:46" s="7" customFormat="1" hidden="1">
      <c r="A42" s="24"/>
      <c r="B42" s="32"/>
      <c r="C42" s="32"/>
      <c r="D42" s="32"/>
      <c r="E42" s="32"/>
      <c r="F42" s="32"/>
      <c r="G42" s="32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323"/>
      <c r="V42" s="24"/>
      <c r="W42" s="323"/>
      <c r="X42" s="324"/>
    </row>
    <row r="43" spans="1:46" s="7" customFormat="1" hidden="1">
      <c r="A43" s="24"/>
      <c r="B43" s="24"/>
      <c r="C43" s="24"/>
      <c r="D43" s="24"/>
      <c r="E43" s="24"/>
      <c r="F43" s="24"/>
      <c r="G43" s="24"/>
      <c r="H43" s="48"/>
      <c r="I43" s="65" t="s">
        <v>281</v>
      </c>
      <c r="J43" s="55" t="s">
        <v>282</v>
      </c>
      <c r="K43" s="55"/>
      <c r="L43" s="55"/>
      <c r="M43" s="55" t="s">
        <v>283</v>
      </c>
      <c r="N43" s="55" t="s">
        <v>284</v>
      </c>
      <c r="O43" s="55" t="s">
        <v>285</v>
      </c>
      <c r="P43" s="55"/>
      <c r="Q43" s="121" t="s">
        <v>286</v>
      </c>
      <c r="R43" s="24"/>
      <c r="S43" s="24"/>
      <c r="T43" s="24"/>
      <c r="U43" s="323"/>
      <c r="V43" s="24"/>
      <c r="W43" s="323">
        <v>0.42</v>
      </c>
      <c r="X43" s="323"/>
      <c r="Y43" s="323">
        <v>0.46</v>
      </c>
      <c r="Z43" s="324"/>
    </row>
    <row r="44" spans="1:46" s="7" customFormat="1" hidden="1">
      <c r="A44" s="24"/>
      <c r="B44" s="24"/>
      <c r="C44" s="23"/>
      <c r="D44" s="23"/>
      <c r="E44" s="23"/>
      <c r="F44" s="24"/>
      <c r="G44" s="24"/>
      <c r="H44" s="48"/>
      <c r="I44" s="24"/>
      <c r="J44" s="121" t="s">
        <v>287</v>
      </c>
      <c r="K44" s="121"/>
      <c r="L44" s="121"/>
      <c r="M44" s="301">
        <f>ROUND((E8)*W43,0)</f>
        <v>14700</v>
      </c>
      <c r="N44" s="301">
        <f>ROUND((E8)*AD8,0)</f>
        <v>17500</v>
      </c>
      <c r="O44" s="301">
        <f>M44-N44</f>
        <v>-2800</v>
      </c>
      <c r="P44" s="301"/>
      <c r="Q44" s="325"/>
      <c r="R44" s="24"/>
      <c r="S44" s="24"/>
      <c r="T44" s="24"/>
      <c r="U44" s="323"/>
      <c r="V44" s="24"/>
      <c r="W44" s="323">
        <v>0.42</v>
      </c>
      <c r="X44" s="323"/>
      <c r="Y44" s="323">
        <v>0.46</v>
      </c>
      <c r="Z44" s="324"/>
    </row>
    <row r="45" spans="1:46" s="7" customFormat="1" hidden="1">
      <c r="A45" s="24"/>
      <c r="B45" s="48"/>
      <c r="C45" s="24" t="s">
        <v>74</v>
      </c>
      <c r="D45" s="24"/>
      <c r="E45" s="280" t="str">
        <f>'Personal Information'!$C$7</f>
        <v>COEDUA-</v>
      </c>
      <c r="F45" s="281">
        <f>'Personal Information'!$F$7</f>
        <v>0</v>
      </c>
      <c r="G45" s="282"/>
      <c r="H45" s="48"/>
      <c r="I45" s="24"/>
      <c r="J45" s="121" t="s">
        <v>269</v>
      </c>
      <c r="K45" s="121"/>
      <c r="L45" s="121"/>
      <c r="M45" s="301">
        <f>ROUND((E9)*W44,0)</f>
        <v>14700</v>
      </c>
      <c r="N45" s="301">
        <f>ROUND((E9)*AD9,0)</f>
        <v>17500</v>
      </c>
      <c r="O45" s="301">
        <f>M45-N45</f>
        <v>-2800</v>
      </c>
      <c r="P45" s="301"/>
      <c r="Q45" s="325"/>
      <c r="R45" s="24"/>
      <c r="S45" s="24"/>
      <c r="T45" s="24"/>
      <c r="U45" s="323"/>
      <c r="V45" s="24"/>
      <c r="W45" s="323">
        <v>0.42</v>
      </c>
      <c r="X45" s="323"/>
      <c r="Y45" s="323">
        <v>0.46</v>
      </c>
      <c r="Z45" s="324"/>
    </row>
    <row r="46" spans="1:46" s="7" customFormat="1" hidden="1">
      <c r="A46" s="24"/>
      <c r="B46" s="48"/>
      <c r="C46" s="737" t="s">
        <v>231</v>
      </c>
      <c r="D46" s="22"/>
      <c r="E46" s="283" t="str">
        <f>'Personal Information'!$Y$30</f>
        <v>Principal</v>
      </c>
      <c r="F46" s="24"/>
      <c r="G46" s="24"/>
      <c r="H46" s="48"/>
      <c r="I46" s="24"/>
      <c r="J46" s="121" t="s">
        <v>288</v>
      </c>
      <c r="K46" s="121"/>
      <c r="L46" s="121"/>
      <c r="M46" s="301">
        <f>ROUND((E10)*W45,0)</f>
        <v>14700</v>
      </c>
      <c r="N46" s="301">
        <f>ROUND((E10)*AD10,0)</f>
        <v>17500</v>
      </c>
      <c r="O46" s="301">
        <f>M46-N46</f>
        <v>-2800</v>
      </c>
      <c r="P46" s="301"/>
      <c r="Q46" s="325"/>
      <c r="R46" s="24"/>
      <c r="S46" s="24"/>
      <c r="T46" s="24"/>
      <c r="U46" s="323"/>
      <c r="V46" s="24"/>
      <c r="W46" s="323">
        <v>0.42</v>
      </c>
      <c r="X46" s="323"/>
      <c r="Y46" s="323">
        <v>0.46</v>
      </c>
      <c r="Z46" s="324"/>
    </row>
    <row r="47" spans="1:46" s="7" customFormat="1" hidden="1">
      <c r="A47" s="24"/>
      <c r="B47" s="24"/>
      <c r="C47" s="46"/>
      <c r="D47" s="46"/>
      <c r="E47" s="46"/>
      <c r="F47" s="24"/>
      <c r="G47" s="24"/>
      <c r="H47" s="48"/>
      <c r="I47" s="24"/>
      <c r="J47" s="121" t="s">
        <v>289</v>
      </c>
      <c r="K47" s="121"/>
      <c r="L47" s="121"/>
      <c r="M47" s="301">
        <f>M46</f>
        <v>14700</v>
      </c>
      <c r="N47" s="301">
        <f>N46</f>
        <v>17500</v>
      </c>
      <c r="O47" s="301">
        <f>M47-N47</f>
        <v>-2800</v>
      </c>
      <c r="P47" s="301"/>
      <c r="Q47" s="325"/>
      <c r="R47" s="24"/>
      <c r="S47" s="24"/>
      <c r="T47" s="24"/>
      <c r="U47" s="323"/>
      <c r="V47" s="24"/>
      <c r="W47" s="323">
        <v>0.42</v>
      </c>
      <c r="X47" s="323"/>
      <c r="Y47" s="323">
        <v>0.46</v>
      </c>
      <c r="Z47" s="324"/>
      <c r="AT47" s="51" t="s">
        <v>176</v>
      </c>
    </row>
    <row r="48" spans="1:46" s="7" customFormat="1" hidden="1">
      <c r="A48" s="24"/>
      <c r="B48" s="48"/>
      <c r="C48" s="284" t="s">
        <v>140</v>
      </c>
      <c r="D48" s="284"/>
      <c r="E48" s="285" t="s">
        <v>290</v>
      </c>
      <c r="F48" s="23" t="s">
        <v>291</v>
      </c>
      <c r="G48" s="24"/>
      <c r="H48" s="48"/>
      <c r="I48" s="24"/>
      <c r="J48" s="121" t="s">
        <v>292</v>
      </c>
      <c r="K48" s="121"/>
      <c r="L48" s="121"/>
      <c r="M48" s="301">
        <f>M47</f>
        <v>14700</v>
      </c>
      <c r="N48" s="301">
        <f>N47</f>
        <v>17500</v>
      </c>
      <c r="O48" s="301">
        <f>M48-N48</f>
        <v>-2800</v>
      </c>
      <c r="P48" s="301"/>
      <c r="Q48" s="325"/>
      <c r="R48" s="24"/>
      <c r="S48" s="24"/>
      <c r="T48" s="24"/>
      <c r="U48" s="24"/>
      <c r="V48" s="24"/>
      <c r="W48" s="323">
        <v>0.42</v>
      </c>
      <c r="X48" s="323"/>
      <c r="Y48" s="323">
        <v>0.46</v>
      </c>
      <c r="Z48" s="324"/>
    </row>
    <row r="49" spans="1:26" s="7" customFormat="1" hidden="1">
      <c r="A49" s="24"/>
      <c r="B49" s="24"/>
      <c r="C49" s="286">
        <f>'Personal Information'!$C$22</f>
        <v>0</v>
      </c>
      <c r="D49" s="287"/>
      <c r="E49" s="287" t="str">
        <f>'Personal Information'!$C$23</f>
        <v>TEHRI</v>
      </c>
      <c r="F49" s="288"/>
      <c r="G49" s="289"/>
      <c r="H49" s="48"/>
      <c r="I49" s="48"/>
      <c r="J49" s="121"/>
      <c r="K49" s="121"/>
      <c r="L49" s="121"/>
      <c r="M49" s="301"/>
      <c r="N49" s="301"/>
      <c r="O49" s="301"/>
      <c r="P49" s="301"/>
      <c r="Q49" s="121"/>
      <c r="R49" s="24"/>
      <c r="S49" s="24"/>
      <c r="T49" s="24"/>
      <c r="U49" s="24"/>
      <c r="V49" s="24"/>
      <c r="W49" s="323">
        <v>0.42</v>
      </c>
      <c r="X49" s="323"/>
      <c r="Y49" s="323">
        <v>0.46</v>
      </c>
      <c r="Z49" s="324"/>
    </row>
    <row r="50" spans="1:26" s="7" customFormat="1" hidden="1">
      <c r="A50" s="24"/>
      <c r="B50" s="24"/>
      <c r="C50" s="22"/>
      <c r="D50" s="23"/>
      <c r="E50" s="23"/>
      <c r="F50" s="58"/>
      <c r="G50" s="48"/>
      <c r="H50" s="48"/>
      <c r="I50" s="23"/>
      <c r="J50" s="23" t="s">
        <v>166</v>
      </c>
      <c r="K50" s="23"/>
      <c r="L50" s="23"/>
      <c r="M50" s="23"/>
      <c r="N50" s="23"/>
      <c r="O50" s="23"/>
      <c r="P50" s="23"/>
      <c r="Q50" s="326">
        <f>SUM(O44:O49)</f>
        <v>-14000</v>
      </c>
      <c r="R50" s="24"/>
      <c r="S50" s="24"/>
      <c r="T50" s="24"/>
      <c r="U50" s="24"/>
      <c r="V50" s="24"/>
      <c r="W50" s="323">
        <v>0.42</v>
      </c>
    </row>
    <row r="51" spans="1:26" s="7" customFormat="1" hidden="1">
      <c r="A51" s="24"/>
      <c r="B51" s="24"/>
      <c r="C51" s="56" t="str">
        <f>IF(E46="H",E49,(C49&amp;E49))</f>
        <v>0TEHRI</v>
      </c>
      <c r="D51" s="46"/>
      <c r="E51" s="46"/>
      <c r="F51" s="59"/>
      <c r="G51" s="48"/>
      <c r="H51" s="290"/>
      <c r="I51" s="65" t="s">
        <v>293</v>
      </c>
      <c r="J51" s="121" t="s">
        <v>294</v>
      </c>
      <c r="K51" s="121"/>
      <c r="L51" s="121"/>
      <c r="M51" s="301">
        <f t="shared" ref="M51:M56" si="25">ROUND((E12)*Y43,0)</f>
        <v>16100</v>
      </c>
      <c r="N51" s="301">
        <f t="shared" ref="N51:N56" si="26">ROUND((E12)*AD12,0)</f>
        <v>17500</v>
      </c>
      <c r="O51" s="301">
        <f>M51-N51</f>
        <v>-1400</v>
      </c>
      <c r="P51" s="301"/>
      <c r="Q51" s="121"/>
      <c r="R51" s="24"/>
      <c r="S51" s="24"/>
      <c r="T51" s="24"/>
      <c r="U51" s="24"/>
      <c r="V51" s="24"/>
    </row>
    <row r="52" spans="1:26" s="7" customFormat="1" hidden="1">
      <c r="A52" s="24"/>
      <c r="B52" s="24"/>
      <c r="C52" s="23"/>
      <c r="D52" s="23"/>
      <c r="E52" s="23"/>
      <c r="F52" s="23"/>
      <c r="G52" s="23"/>
      <c r="H52" s="58"/>
      <c r="I52" s="24"/>
      <c r="J52" s="121" t="s">
        <v>295</v>
      </c>
      <c r="K52" s="121"/>
      <c r="L52" s="121"/>
      <c r="M52" s="301">
        <f t="shared" si="25"/>
        <v>16100</v>
      </c>
      <c r="N52" s="301">
        <f t="shared" si="26"/>
        <v>17500</v>
      </c>
      <c r="O52" s="301">
        <f>M52-N52</f>
        <v>-1400</v>
      </c>
      <c r="P52" s="301"/>
      <c r="Q52" s="121"/>
      <c r="R52" s="24"/>
      <c r="S52" s="24"/>
      <c r="T52" s="24"/>
      <c r="U52" s="24"/>
      <c r="V52" s="24"/>
    </row>
    <row r="53" spans="1:26" s="7" customFormat="1" hidden="1">
      <c r="A53" s="24"/>
      <c r="B53" s="48"/>
      <c r="C53" s="45">
        <f>'Personal Information'!$C$21</f>
        <v>0</v>
      </c>
      <c r="D53" s="45"/>
      <c r="E53" s="45"/>
      <c r="F53" s="45" t="str">
        <f>'Personal Information'!$C$23</f>
        <v>TEHRI</v>
      </c>
      <c r="G53" s="45"/>
      <c r="H53" s="48"/>
      <c r="I53" s="58"/>
      <c r="J53" s="121" t="s">
        <v>296</v>
      </c>
      <c r="K53" s="121"/>
      <c r="L53" s="121"/>
      <c r="M53" s="301">
        <f t="shared" si="25"/>
        <v>16100</v>
      </c>
      <c r="N53" s="301">
        <f t="shared" si="26"/>
        <v>17500</v>
      </c>
      <c r="O53" s="301">
        <f>M53-N53</f>
        <v>-1400</v>
      </c>
      <c r="P53" s="301"/>
      <c r="Q53" s="326"/>
      <c r="R53" s="24"/>
      <c r="S53" s="24"/>
      <c r="T53" s="24"/>
      <c r="U53" s="24"/>
      <c r="V53" s="24"/>
    </row>
    <row r="54" spans="1:26" s="7" customFormat="1" hidden="1">
      <c r="A54" s="24"/>
      <c r="B54" s="48"/>
      <c r="C54" s="45">
        <f>'Personal Information'!C22:J22</f>
        <v>0</v>
      </c>
      <c r="D54" s="45"/>
      <c r="E54" s="45"/>
      <c r="F54" s="45"/>
      <c r="G54" s="45"/>
      <c r="H54" s="48"/>
      <c r="I54" s="23"/>
      <c r="J54" s="121" t="s">
        <v>297</v>
      </c>
      <c r="K54" s="121"/>
      <c r="L54" s="121"/>
      <c r="M54" s="301">
        <f t="shared" si="25"/>
        <v>16100</v>
      </c>
      <c r="N54" s="301">
        <f t="shared" si="26"/>
        <v>17500</v>
      </c>
      <c r="O54" s="301">
        <f>O53</f>
        <v>-1400</v>
      </c>
      <c r="P54" s="301"/>
      <c r="Q54" s="326"/>
      <c r="R54" s="24"/>
      <c r="S54" s="24"/>
      <c r="T54" s="24"/>
      <c r="U54" s="24"/>
      <c r="V54" s="24"/>
    </row>
    <row r="55" spans="1:26" s="7" customFormat="1" hidden="1">
      <c r="A55" s="24"/>
      <c r="B55" s="48" t="s">
        <v>298</v>
      </c>
      <c r="C55" s="45" t="str">
        <f>CONCATENATE(C53," ",C54," ",F53)</f>
        <v>0 0 TEHRI</v>
      </c>
      <c r="D55" s="45"/>
      <c r="E55" s="45"/>
      <c r="F55" s="45"/>
      <c r="G55" s="45"/>
      <c r="H55" s="48"/>
      <c r="I55" s="23"/>
      <c r="J55" s="121" t="s">
        <v>299</v>
      </c>
      <c r="K55" s="23"/>
      <c r="L55" s="23"/>
      <c r="M55" s="301">
        <f t="shared" si="25"/>
        <v>16100</v>
      </c>
      <c r="N55" s="301">
        <f t="shared" si="26"/>
        <v>18550</v>
      </c>
      <c r="O55" s="301">
        <f>O54</f>
        <v>-1400</v>
      </c>
      <c r="P55" s="302"/>
      <c r="Q55" s="326"/>
      <c r="R55" s="24"/>
      <c r="S55" s="24"/>
      <c r="T55" s="24"/>
      <c r="U55" s="24"/>
      <c r="V55" s="24"/>
    </row>
    <row r="56" spans="1:26" s="7" customFormat="1" hidden="1">
      <c r="A56" s="24"/>
      <c r="B56" s="48"/>
      <c r="C56" s="45"/>
      <c r="D56" s="45"/>
      <c r="E56" s="45"/>
      <c r="F56" s="45"/>
      <c r="G56" s="45"/>
      <c r="H56" s="48"/>
      <c r="I56" s="23"/>
      <c r="J56" s="23"/>
      <c r="K56" s="23"/>
      <c r="L56" s="23"/>
      <c r="M56" s="301">
        <f t="shared" si="25"/>
        <v>16100</v>
      </c>
      <c r="N56" s="301">
        <f t="shared" si="26"/>
        <v>18550</v>
      </c>
      <c r="O56" s="301">
        <f>O55</f>
        <v>-1400</v>
      </c>
      <c r="P56" s="302"/>
      <c r="Q56" s="326"/>
      <c r="R56" s="24"/>
      <c r="S56" s="24"/>
      <c r="T56" s="24"/>
      <c r="U56" s="24"/>
      <c r="V56" s="24"/>
    </row>
    <row r="57" spans="1:26" s="7" customFormat="1" hidden="1">
      <c r="A57" s="24"/>
      <c r="B57" s="48" t="s">
        <v>300</v>
      </c>
      <c r="C57" s="24" t="str">
        <f>CONCATENATE(C53," ",C54," ",F53)</f>
        <v>0 0 TEHRI</v>
      </c>
      <c r="D57" s="24"/>
      <c r="E57" s="24"/>
      <c r="F57" s="24"/>
      <c r="G57" s="24"/>
      <c r="H57" s="48"/>
      <c r="I57" s="23"/>
      <c r="J57" s="23" t="s">
        <v>166</v>
      </c>
      <c r="K57" s="23"/>
      <c r="L57" s="23"/>
      <c r="M57" s="23"/>
      <c r="N57" s="23"/>
      <c r="O57" s="23"/>
      <c r="P57" s="23"/>
      <c r="Q57" s="326">
        <f>SUM(O51:O56)</f>
        <v>-8400</v>
      </c>
      <c r="R57" s="24"/>
      <c r="S57" s="24"/>
      <c r="T57" s="24"/>
      <c r="U57" s="24"/>
      <c r="V57" s="24"/>
    </row>
    <row r="58" spans="1:26" s="7" customFormat="1" hidden="1">
      <c r="A58" s="24"/>
      <c r="B58" s="48"/>
      <c r="C58" s="45"/>
      <c r="D58" s="45"/>
      <c r="E58" s="24"/>
      <c r="F58" s="24"/>
      <c r="G58" s="24"/>
      <c r="H58" s="24"/>
      <c r="I58" s="32"/>
      <c r="J58" s="32"/>
      <c r="K58" s="32"/>
      <c r="L58" s="32"/>
      <c r="M58" s="32"/>
      <c r="N58" s="32"/>
      <c r="O58" s="32"/>
      <c r="P58" s="32"/>
      <c r="Q58" s="32"/>
      <c r="R58" s="24"/>
      <c r="S58" s="24"/>
      <c r="T58" s="24"/>
      <c r="U58" s="24"/>
      <c r="V58" s="24"/>
    </row>
    <row r="59" spans="1:26" hidden="1">
      <c r="A59" s="32"/>
      <c r="B59" s="7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</row>
    <row r="60" spans="1:26" hidden="1">
      <c r="A60" s="32"/>
      <c r="B60" s="72"/>
      <c r="C60" s="29"/>
      <c r="D60" s="29"/>
      <c r="E60" s="29"/>
      <c r="F60" s="29"/>
      <c r="G60" s="29"/>
      <c r="H60" s="29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</row>
    <row r="61" spans="1:26" hidden="1">
      <c r="A61" s="32"/>
      <c r="B61" s="32"/>
      <c r="C61" s="133"/>
      <c r="D61" s="133"/>
      <c r="E61" s="32"/>
      <c r="F61" s="32"/>
      <c r="G61" s="32"/>
      <c r="H61" s="32"/>
      <c r="I61" s="24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</row>
    <row r="62" spans="1:26" hidden="1">
      <c r="I62" s="7"/>
    </row>
    <row r="63" spans="1:26" hidden="1">
      <c r="C63" t="s">
        <v>301</v>
      </c>
      <c r="I63" s="7"/>
    </row>
    <row r="64" spans="1:26" hidden="1"/>
    <row r="65" spans="3:8" hidden="1">
      <c r="C65" s="6" t="s">
        <v>302</v>
      </c>
    </row>
    <row r="66" spans="3:8" hidden="1">
      <c r="H66" s="360" t="s">
        <v>302</v>
      </c>
    </row>
    <row r="67" spans="3:8" hidden="1">
      <c r="C67" s="6" t="s">
        <v>303</v>
      </c>
    </row>
    <row r="68" spans="3:8" hidden="1">
      <c r="H68" s="360" t="s">
        <v>304</v>
      </c>
    </row>
    <row r="69" spans="3:8" hidden="1">
      <c r="C69" s="6" t="s">
        <v>305</v>
      </c>
    </row>
    <row r="70" spans="3:8" hidden="1">
      <c r="H70" s="6" t="s">
        <v>53</v>
      </c>
    </row>
    <row r="71" spans="3:8" hidden="1">
      <c r="C71" s="6" t="s">
        <v>306</v>
      </c>
    </row>
    <row r="72" spans="3:8" hidden="1"/>
    <row r="73" spans="3:8" hidden="1">
      <c r="C73" t="s">
        <v>307</v>
      </c>
    </row>
    <row r="74" spans="3:8" hidden="1"/>
    <row r="75" spans="3:8" hidden="1"/>
    <row r="76" spans="3:8" hidden="1"/>
    <row r="77" spans="3:8" hidden="1"/>
    <row r="78" spans="3:8" hidden="1"/>
    <row r="79" spans="3:8" hidden="1"/>
    <row r="80" spans="3:8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spans="25:29" hidden="1"/>
    <row r="98" spans="25:29" hidden="1"/>
    <row r="99" spans="25:29" hidden="1"/>
    <row r="102" spans="25:29">
      <c r="AC102" s="345"/>
    </row>
    <row r="103" spans="25:29">
      <c r="AC103" s="32"/>
    </row>
    <row r="109" spans="25:29">
      <c r="Y109" t="e">
        <f>'Personal Information'!C15:F15</f>
        <v>#VALUE!</v>
      </c>
    </row>
  </sheetData>
  <sheetProtection algorithmName="SHA-512" hashValue="D31+BtdQgRslm5mPXW2R/iTiBAmBeW/gZo+2yGR+j3sbttGpc2XSfXGVVIm4ExJrSMlKs+IQ5Dey5kPUw0gZdQ==" saltValue="neuX2fyZ3C/taiImgiuETw==" spinCount="100000" sheet="1" insertColumns="0" sort="0" autoFilter="0" pivotTables="0"/>
  <protectedRanges>
    <protectedRange sqref="I21:M21 H22:M22 O21:U22" name="Range5"/>
    <protectedRange sqref="AM25" name="Range3"/>
    <protectedRange sqref="AC5 E21:G21 I21:L21 E22:L26 P8:P19 E8:L20" name="Range1"/>
    <protectedRange sqref="AM19 N23:R26 O8:O19 O20:U20 O21:R22 S21:U26 Q8:U19" name="Range2"/>
    <protectedRange sqref="AM25 B20:D26" name="Range4"/>
  </protectedRanges>
  <mergeCells count="48">
    <mergeCell ref="B1:O1"/>
    <mergeCell ref="Q1:R1"/>
    <mergeCell ref="F2:I2"/>
    <mergeCell ref="O2:W2"/>
    <mergeCell ref="A3:C3"/>
    <mergeCell ref="F3:I3"/>
    <mergeCell ref="O3:R3"/>
    <mergeCell ref="F4:H4"/>
    <mergeCell ref="R4:S4"/>
    <mergeCell ref="T4:U4"/>
    <mergeCell ref="B5:D5"/>
    <mergeCell ref="N5:R5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D20"/>
    <mergeCell ref="B21:D21"/>
    <mergeCell ref="B22:D22"/>
    <mergeCell ref="B23:D23"/>
    <mergeCell ref="B24:D24"/>
    <mergeCell ref="B25:D25"/>
    <mergeCell ref="B26:D26"/>
    <mergeCell ref="A27:D27"/>
    <mergeCell ref="AT2:AV3"/>
    <mergeCell ref="AO1:AQ2"/>
    <mergeCell ref="R33:V33"/>
    <mergeCell ref="G5:G7"/>
    <mergeCell ref="K5:K7"/>
    <mergeCell ref="L5:L7"/>
    <mergeCell ref="P6:P7"/>
    <mergeCell ref="S5:S7"/>
    <mergeCell ref="T5:T7"/>
    <mergeCell ref="U5:U7"/>
    <mergeCell ref="AA27:AB27"/>
    <mergeCell ref="M29:N29"/>
    <mergeCell ref="M30:N30"/>
    <mergeCell ref="M31:N31"/>
    <mergeCell ref="M32:N32"/>
    <mergeCell ref="O32:R32"/>
  </mergeCells>
  <hyperlinks>
    <hyperlink ref="AO1:AQ2" location="'Personal Information'!A1" display="Back to Home Page" xr:uid="{00000000-0004-0000-0400-000000000000}"/>
    <hyperlink ref="AT2:AV3" location="'Personal Information'!A1" display="Back to Home Page" xr:uid="{00000000-0004-0000-0400-000001000000}"/>
  </hyperlinks>
  <pageMargins left="0.25" right="0.25" top="0.75" bottom="0.75" header="0.3" footer="0.3"/>
  <pageSetup paperSize="9" scale="67" orientation="landscape" blackAndWhite="1" horizontalDpi="180" verticalDpi="180" r:id="rId1"/>
  <headerFooter alignWithMargins="0">
    <oddHeader>&amp;R&amp;D&amp;Twww.emou.co.in</oddHeader>
  </headerFooter>
  <rowBreaks count="1" manualBreakCount="1">
    <brk id="47" max="3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9" tint="-0.249977111117893"/>
  </sheetPr>
  <dimension ref="A1:BD86"/>
  <sheetViews>
    <sheetView showGridLines="0" view="pageBreakPreview" zoomScale="90" zoomScaleNormal="100" workbookViewId="0">
      <selection sqref="A1:J78"/>
    </sheetView>
  </sheetViews>
  <sheetFormatPr defaultColWidth="9" defaultRowHeight="12.75"/>
  <cols>
    <col min="1" max="1" width="5.85546875" customWidth="1"/>
    <col min="4" max="4" width="9.42578125" customWidth="1"/>
    <col min="5" max="5" width="8" customWidth="1"/>
    <col min="6" max="6" width="14.5703125" customWidth="1"/>
    <col min="7" max="7" width="13.42578125" customWidth="1"/>
    <col min="8" max="8" width="11.140625" customWidth="1"/>
    <col min="9" max="9" width="21" customWidth="1"/>
    <col min="10" max="10" width="4.5703125" hidden="1" customWidth="1"/>
    <col min="11" max="11" width="13.28515625" hidden="1" customWidth="1"/>
    <col min="12" max="15" width="9.7109375" hidden="1" customWidth="1"/>
    <col min="16" max="16" width="10.42578125" hidden="1" customWidth="1"/>
    <col min="17" max="18" width="0.42578125" customWidth="1"/>
    <col min="19" max="19" width="31.7109375" customWidth="1"/>
    <col min="20" max="20" width="13.28515625" customWidth="1"/>
    <col min="21" max="21" width="10.140625" customWidth="1"/>
    <col min="22" max="22" width="12.140625" customWidth="1"/>
    <col min="23" max="23" width="12.28515625" customWidth="1"/>
    <col min="24" max="24" width="13.140625" customWidth="1"/>
    <col min="25" max="25" width="7.85546875" hidden="1" customWidth="1"/>
    <col min="26" max="26" width="9.140625" customWidth="1"/>
    <col min="27" max="27" width="9.140625" hidden="1" customWidth="1"/>
    <col min="28" max="28" width="12" hidden="1" customWidth="1"/>
    <col min="29" max="29" width="9.140625" hidden="1" customWidth="1"/>
    <col min="30" max="31" width="0.28515625" hidden="1" customWidth="1"/>
    <col min="32" max="32" width="0.42578125" hidden="1" customWidth="1"/>
    <col min="33" max="34" width="9.140625" hidden="1" customWidth="1"/>
    <col min="35" max="35" width="18.7109375" hidden="1" customWidth="1"/>
    <col min="36" max="56" width="9" hidden="1" customWidth="1"/>
  </cols>
  <sheetData>
    <row r="1" spans="1:28" s="141" customFormat="1" ht="16.5" customHeight="1">
      <c r="A1" s="143" t="s">
        <v>308</v>
      </c>
      <c r="B1" s="143"/>
      <c r="C1" s="143"/>
      <c r="D1" s="143"/>
      <c r="E1" s="143"/>
      <c r="F1" s="143"/>
      <c r="G1" s="223" t="str">
        <f>'Personal Information'!$C$26</f>
        <v>2024-25</v>
      </c>
      <c r="H1" s="143"/>
      <c r="J1" s="177"/>
    </row>
    <row r="2" spans="1:28" s="7" customFormat="1" ht="12" customHeight="1">
      <c r="A2" s="51" t="s">
        <v>309</v>
      </c>
      <c r="B2" s="51"/>
      <c r="C2" s="51"/>
      <c r="D2" s="146"/>
      <c r="E2" s="146"/>
      <c r="F2" s="1143" t="str">
        <f>'Salary Details'!$O$2</f>
        <v>0 0 TEHRI</v>
      </c>
      <c r="G2" s="1143"/>
      <c r="H2" s="1143"/>
      <c r="I2" s="1143"/>
    </row>
    <row r="3" spans="1:28" s="141" customFormat="1" ht="12.75" customHeight="1">
      <c r="A3" s="51" t="s">
        <v>310</v>
      </c>
      <c r="B3" s="51"/>
      <c r="C3" s="51"/>
      <c r="D3" s="1143" t="str">
        <f>'Personal Information'!$C$3</f>
        <v>VIKAS</v>
      </c>
      <c r="E3" s="1143"/>
      <c r="F3" s="1143"/>
      <c r="G3" s="51" t="s">
        <v>311</v>
      </c>
      <c r="H3" s="51"/>
      <c r="I3" s="1042">
        <f>'Personal Information'!$C$6</f>
        <v>0</v>
      </c>
      <c r="J3" s="1042"/>
      <c r="S3" s="1130" t="s">
        <v>181</v>
      </c>
      <c r="T3" s="1130"/>
      <c r="U3" s="1130"/>
    </row>
    <row r="4" spans="1:28" s="141" customFormat="1" ht="13.5" customHeight="1">
      <c r="A4" s="118" t="s">
        <v>312</v>
      </c>
      <c r="B4" s="118"/>
      <c r="C4" s="118"/>
      <c r="D4" s="1144" t="str">
        <f>'Personal Information'!$M$8</f>
        <v/>
      </c>
      <c r="E4" s="1144"/>
      <c r="F4" s="118"/>
      <c r="G4" s="118" t="s">
        <v>313</v>
      </c>
      <c r="H4" s="118"/>
      <c r="I4" s="147">
        <f>'Personal Information'!$C$9</f>
        <v>0</v>
      </c>
      <c r="J4" s="52"/>
      <c r="L4" s="186"/>
      <c r="M4" s="187"/>
      <c r="O4" s="188"/>
      <c r="P4" s="188"/>
      <c r="S4" s="1130"/>
      <c r="T4" s="1130"/>
      <c r="U4" s="1130"/>
    </row>
    <row r="5" spans="1:28" s="141" customFormat="1" ht="11.25" customHeight="1">
      <c r="A5" s="52" t="s">
        <v>314</v>
      </c>
      <c r="B5" s="52"/>
      <c r="C5" s="52"/>
      <c r="D5" s="52"/>
      <c r="E5" s="52"/>
      <c r="F5" s="75"/>
      <c r="G5" s="148"/>
      <c r="H5" s="75"/>
      <c r="I5" s="159"/>
      <c r="J5" s="130"/>
      <c r="K5" s="189"/>
      <c r="L5" s="738" t="s">
        <v>231</v>
      </c>
      <c r="M5" s="186" t="str">
        <f>'Salary Details'!$E$46</f>
        <v>Principal</v>
      </c>
      <c r="N5" s="190"/>
      <c r="O5" s="191" t="str">
        <f>'Personal Information'!$M$11</f>
        <v>C</v>
      </c>
      <c r="P5" s="739" t="s">
        <v>231</v>
      </c>
      <c r="Q5" s="192"/>
    </row>
    <row r="6" spans="1:28" s="7" customFormat="1">
      <c r="A6" s="75"/>
      <c r="B6" s="75" t="s">
        <v>315</v>
      </c>
      <c r="C6" s="75"/>
      <c r="D6" s="75"/>
      <c r="E6" s="75"/>
      <c r="F6" s="75"/>
      <c r="G6" s="148"/>
      <c r="H6" s="149" t="s">
        <v>316</v>
      </c>
      <c r="I6" s="178">
        <f>SUM('Salary Details'!$E$27)</f>
        <v>429108</v>
      </c>
      <c r="K6" s="16"/>
      <c r="L6" s="24"/>
      <c r="M6" s="186"/>
      <c r="N6" s="53"/>
      <c r="O6" s="22" t="s">
        <v>317</v>
      </c>
      <c r="P6" s="193"/>
      <c r="Q6" s="194"/>
    </row>
    <row r="7" spans="1:28" s="7" customFormat="1">
      <c r="A7" s="75"/>
      <c r="B7" s="75" t="s">
        <v>318</v>
      </c>
      <c r="C7" s="75"/>
      <c r="D7" s="75"/>
      <c r="E7" s="75"/>
      <c r="F7" s="75"/>
      <c r="G7" s="148"/>
      <c r="H7" s="150" t="s">
        <v>316</v>
      </c>
      <c r="I7" s="178">
        <f>SUM('Salary Details'!$F$27)</f>
        <v>0</v>
      </c>
      <c r="K7" s="16"/>
      <c r="L7" s="23" t="str">
        <f>'Salary Details'!C30</f>
        <v>Principal</v>
      </c>
      <c r="M7" s="23"/>
      <c r="N7" s="58"/>
      <c r="O7" s="24" t="s">
        <v>319</v>
      </c>
      <c r="P7" s="195">
        <f>SUM('Salary Details'!$N$27+'Salary Details'!O27)</f>
        <v>64456</v>
      </c>
      <c r="Q7" s="194"/>
      <c r="AB7" s="7">
        <v>22222222222</v>
      </c>
    </row>
    <row r="8" spans="1:28" s="7" customFormat="1" ht="11.25" customHeight="1">
      <c r="A8" s="75"/>
      <c r="B8" s="75" t="s">
        <v>320</v>
      </c>
      <c r="C8" s="75"/>
      <c r="D8" s="75"/>
      <c r="E8" s="75"/>
      <c r="F8" s="75"/>
      <c r="G8" s="148"/>
      <c r="H8" s="150" t="s">
        <v>316</v>
      </c>
      <c r="I8" s="178">
        <f>SUM('Salary Details'!$H$27)</f>
        <v>222366</v>
      </c>
      <c r="K8" s="48"/>
      <c r="L8" s="56"/>
      <c r="M8" s="46"/>
      <c r="N8" s="59"/>
      <c r="O8" s="22" t="s">
        <v>321</v>
      </c>
      <c r="P8" s="193">
        <f>SUM('Salary Details'!$N$27)</f>
        <v>64456</v>
      </c>
      <c r="Q8" s="196"/>
      <c r="R8" s="197"/>
    </row>
    <row r="9" spans="1:28" s="7" customFormat="1" ht="13.5" customHeight="1">
      <c r="A9" s="75"/>
      <c r="B9" s="75" t="s">
        <v>322</v>
      </c>
      <c r="C9" s="75"/>
      <c r="D9" s="75"/>
      <c r="E9" s="75"/>
      <c r="F9" s="75"/>
      <c r="G9" s="148"/>
      <c r="H9" s="150" t="s">
        <v>316</v>
      </c>
      <c r="I9" s="178">
        <f>SUM('Salary Details'!$I$27)</f>
        <v>3360</v>
      </c>
      <c r="K9" s="24"/>
      <c r="L9" s="24"/>
      <c r="M9" s="24"/>
      <c r="N9" s="24"/>
      <c r="O9" s="24"/>
    </row>
    <row r="10" spans="1:28" s="7" customFormat="1" ht="11.25" customHeight="1">
      <c r="A10" s="75"/>
      <c r="B10" s="75" t="s">
        <v>323</v>
      </c>
      <c r="C10" s="75"/>
      <c r="D10" s="75"/>
      <c r="E10" s="75"/>
      <c r="F10" s="75"/>
      <c r="G10" s="148"/>
      <c r="H10" s="150" t="s">
        <v>316</v>
      </c>
      <c r="I10" s="178">
        <f>SUM('Salary Details'!$J$27)</f>
        <v>42600</v>
      </c>
      <c r="K10" s="24"/>
      <c r="L10" s="24"/>
      <c r="M10" s="24"/>
      <c r="N10" s="24"/>
      <c r="O10" s="24"/>
    </row>
    <row r="11" spans="1:28" s="7" customFormat="1" ht="12" customHeight="1">
      <c r="A11" s="75"/>
      <c r="B11" s="75" t="s">
        <v>324</v>
      </c>
      <c r="C11" s="75"/>
      <c r="D11" s="75"/>
      <c r="E11" s="75"/>
      <c r="F11" s="75"/>
      <c r="G11" s="148"/>
      <c r="H11" s="150" t="s">
        <v>316</v>
      </c>
      <c r="I11" s="230">
        <v>0</v>
      </c>
      <c r="K11" s="24"/>
      <c r="L11" s="24"/>
      <c r="M11" s="24"/>
      <c r="N11" s="24"/>
      <c r="O11" s="24"/>
    </row>
    <row r="12" spans="1:28" s="7" customFormat="1" ht="12" customHeight="1">
      <c r="A12" s="75"/>
      <c r="B12" s="75" t="s">
        <v>325</v>
      </c>
      <c r="C12" s="75"/>
      <c r="D12" s="75"/>
      <c r="E12" s="75"/>
      <c r="F12" s="75"/>
      <c r="G12" s="148"/>
      <c r="H12" s="150" t="s">
        <v>316</v>
      </c>
      <c r="I12" s="178">
        <f>'Salary Details'!K27</f>
        <v>0</v>
      </c>
      <c r="K12" s="24"/>
      <c r="L12" s="24"/>
      <c r="M12" s="24"/>
      <c r="N12" s="24"/>
      <c r="O12" s="24"/>
    </row>
    <row r="13" spans="1:28" s="7" customFormat="1" ht="11.25" customHeight="1">
      <c r="A13" s="75"/>
      <c r="B13" s="75" t="s">
        <v>326</v>
      </c>
      <c r="C13" s="75"/>
      <c r="D13" s="75"/>
      <c r="E13" s="75"/>
      <c r="F13" s="75"/>
      <c r="G13" s="148"/>
      <c r="H13" s="150" t="s">
        <v>316</v>
      </c>
      <c r="I13" s="230">
        <f>'Salary Details'!L27</f>
        <v>90240</v>
      </c>
      <c r="K13" s="24"/>
      <c r="L13" s="24"/>
      <c r="M13" s="24"/>
      <c r="N13" s="24"/>
      <c r="O13" s="24"/>
    </row>
    <row r="14" spans="1:28" s="7" customFormat="1" ht="11.25" customHeight="1">
      <c r="A14" s="75"/>
      <c r="B14" s="75" t="s">
        <v>327</v>
      </c>
      <c r="C14" s="75"/>
      <c r="D14" s="75"/>
      <c r="E14" s="75"/>
      <c r="F14" s="75"/>
      <c r="G14" s="148"/>
      <c r="H14" s="150" t="s">
        <v>316</v>
      </c>
      <c r="I14" s="230">
        <f>'Salary Details'!G27</f>
        <v>0</v>
      </c>
      <c r="K14" s="24"/>
      <c r="L14" s="24"/>
      <c r="M14" s="24"/>
      <c r="N14" s="24"/>
      <c r="O14" s="24"/>
    </row>
    <row r="15" spans="1:28" s="7" customFormat="1" ht="12.75" customHeight="1">
      <c r="A15" s="75"/>
      <c r="B15" s="52" t="s">
        <v>328</v>
      </c>
      <c r="C15" s="52"/>
      <c r="D15" s="75"/>
      <c r="E15" s="75"/>
      <c r="F15" s="75"/>
      <c r="G15" s="148"/>
      <c r="H15" s="151" t="s">
        <v>316</v>
      </c>
      <c r="I15" s="180">
        <f>SUM(I6:I14)</f>
        <v>787674</v>
      </c>
      <c r="K15" s="24"/>
      <c r="L15" s="24"/>
      <c r="M15" s="24"/>
      <c r="N15" s="24"/>
      <c r="O15" s="24"/>
    </row>
    <row r="16" spans="1:28" s="7" customFormat="1" ht="10.5" customHeight="1">
      <c r="A16" s="75"/>
      <c r="B16" s="75" t="s">
        <v>329</v>
      </c>
      <c r="C16" s="75"/>
      <c r="D16" s="75"/>
      <c r="E16" s="75"/>
      <c r="F16" s="75"/>
      <c r="G16" s="148"/>
      <c r="H16" s="150" t="s">
        <v>316</v>
      </c>
      <c r="I16" s="231" cm="1">
        <f t="array" ref="I16:P16">'Personal Information'!M13:T13</f>
        <v>0</v>
      </c>
      <c r="J16" s="7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7">
        <v>0</v>
      </c>
    </row>
    <row r="17" spans="1:15" s="7" customFormat="1" ht="10.5" customHeight="1">
      <c r="A17" s="75"/>
      <c r="B17" s="75" t="s">
        <v>330</v>
      </c>
      <c r="C17" s="75"/>
      <c r="D17" s="75"/>
      <c r="E17" s="75"/>
      <c r="F17" s="75"/>
      <c r="G17" s="148"/>
      <c r="H17" s="150"/>
      <c r="I17" s="231">
        <f>'Personal Information'!AS31</f>
        <v>0</v>
      </c>
      <c r="K17" s="24"/>
      <c r="L17" s="24"/>
      <c r="M17" s="24"/>
      <c r="N17" s="24"/>
      <c r="O17" s="24"/>
    </row>
    <row r="18" spans="1:15" s="7" customFormat="1" ht="12" customHeight="1">
      <c r="A18" s="1145" t="s">
        <v>331</v>
      </c>
      <c r="B18" s="1146"/>
      <c r="C18" s="1146"/>
      <c r="D18" s="1146"/>
      <c r="E18" s="1146"/>
      <c r="F18" s="1146"/>
      <c r="G18" s="148"/>
      <c r="H18" s="151" t="s">
        <v>316</v>
      </c>
      <c r="I18" s="180">
        <f>SUM(I15:I17)</f>
        <v>787674</v>
      </c>
      <c r="K18" s="24"/>
      <c r="L18" s="24"/>
      <c r="M18" s="24"/>
      <c r="N18" s="24"/>
      <c r="O18" s="24"/>
    </row>
    <row r="19" spans="1:15" s="7" customFormat="1" ht="10.5" customHeight="1">
      <c r="A19" s="52" t="s">
        <v>332</v>
      </c>
      <c r="B19" s="52"/>
      <c r="C19" s="52"/>
      <c r="D19" s="75"/>
      <c r="E19" s="75"/>
      <c r="F19" s="75"/>
      <c r="G19" s="148"/>
      <c r="H19" s="150"/>
      <c r="I19" s="178"/>
      <c r="K19" s="24"/>
      <c r="L19" s="24"/>
      <c r="M19" s="24"/>
      <c r="N19" s="24"/>
      <c r="O19" s="24"/>
    </row>
    <row r="20" spans="1:15" s="7" customFormat="1" ht="11.25" customHeight="1">
      <c r="A20" s="69"/>
      <c r="B20" s="69"/>
      <c r="C20" s="32"/>
      <c r="D20" s="32"/>
      <c r="E20" s="32"/>
      <c r="F20" s="152" t="s">
        <v>240</v>
      </c>
      <c r="G20" s="153"/>
      <c r="H20" s="150" t="s">
        <v>316</v>
      </c>
      <c r="I20" s="181">
        <f>'Personal Information'!$H$16</f>
        <v>0</v>
      </c>
      <c r="K20" s="24"/>
      <c r="L20" s="24"/>
      <c r="M20" s="24"/>
      <c r="N20" s="24"/>
      <c r="O20" s="24"/>
    </row>
    <row r="21" spans="1:15" s="7" customFormat="1">
      <c r="A21" s="69"/>
      <c r="B21" s="69"/>
      <c r="C21" s="32"/>
      <c r="D21" s="32"/>
      <c r="E21" s="32"/>
      <c r="F21" s="152" t="s">
        <v>239</v>
      </c>
      <c r="G21" s="153"/>
      <c r="H21" s="150" t="s">
        <v>316</v>
      </c>
      <c r="I21" s="182">
        <f>IF(K21&gt;3600,3600,IF(K21&gt;36000,K21,K21))</f>
        <v>0</v>
      </c>
      <c r="K21" s="197">
        <f>'Personal Information'!AL10</f>
        <v>0</v>
      </c>
      <c r="L21" s="24"/>
      <c r="M21" s="24"/>
      <c r="N21" s="24"/>
      <c r="O21" s="24">
        <v>50000</v>
      </c>
    </row>
    <row r="22" spans="1:15" s="7" customFormat="1">
      <c r="A22" s="69"/>
      <c r="B22" s="69"/>
      <c r="C22" s="32"/>
      <c r="D22" s="32"/>
      <c r="E22" s="32"/>
      <c r="F22" s="152" t="s">
        <v>97</v>
      </c>
      <c r="G22" s="153"/>
      <c r="H22" s="150" t="s">
        <v>316</v>
      </c>
      <c r="I22" s="182">
        <f>I12</f>
        <v>0</v>
      </c>
      <c r="K22" s="197"/>
      <c r="L22" s="24"/>
      <c r="M22" s="24"/>
      <c r="N22" s="24"/>
      <c r="O22" s="24"/>
    </row>
    <row r="23" spans="1:15" s="7" customFormat="1" ht="11.25" customHeight="1">
      <c r="A23" s="154"/>
      <c r="B23" s="154"/>
      <c r="C23" s="155" t="s">
        <v>333</v>
      </c>
      <c r="D23" s="155"/>
      <c r="E23" s="155"/>
      <c r="F23" s="156"/>
      <c r="G23" s="157"/>
      <c r="H23" s="150" t="s">
        <v>316</v>
      </c>
      <c r="I23" s="232">
        <v>0</v>
      </c>
      <c r="K23" s="198"/>
      <c r="L23" s="24"/>
      <c r="M23" s="24"/>
      <c r="N23" s="24"/>
      <c r="O23" s="24"/>
    </row>
    <row r="24" spans="1:15" s="7" customFormat="1">
      <c r="A24" s="52" t="s">
        <v>334</v>
      </c>
      <c r="B24" s="52"/>
      <c r="C24" s="75"/>
      <c r="D24" s="75"/>
      <c r="E24" s="75"/>
      <c r="F24" s="75"/>
      <c r="G24" s="148"/>
      <c r="H24" s="151" t="s">
        <v>316</v>
      </c>
      <c r="I24" s="180">
        <f>(I18-(I20+I21+I23+I22))</f>
        <v>787674</v>
      </c>
      <c r="K24" s="24"/>
      <c r="L24" s="24" t="s">
        <v>115</v>
      </c>
      <c r="M24" s="24"/>
      <c r="N24" s="24"/>
      <c r="O24" s="24"/>
    </row>
    <row r="25" spans="1:15" s="7" customFormat="1">
      <c r="A25" s="52" t="s">
        <v>335</v>
      </c>
      <c r="B25" s="52"/>
      <c r="C25" s="75"/>
      <c r="D25" s="75"/>
      <c r="E25" s="75"/>
      <c r="F25" s="75"/>
      <c r="G25" s="148"/>
      <c r="H25" s="151"/>
      <c r="I25" s="180">
        <f>IF(O21&gt;I18,I18,O21)</f>
        <v>50000</v>
      </c>
      <c r="K25" s="24"/>
      <c r="L25" s="24"/>
      <c r="M25" s="24"/>
      <c r="N25" s="24"/>
      <c r="O25" s="24"/>
    </row>
    <row r="26" spans="1:15" s="7" customFormat="1" ht="11.25" customHeight="1">
      <c r="A26" s="52" t="s">
        <v>336</v>
      </c>
      <c r="B26" s="52"/>
      <c r="C26" s="52"/>
      <c r="D26" s="75"/>
      <c r="E26" s="75"/>
      <c r="F26" s="75"/>
      <c r="G26" s="148"/>
      <c r="H26" s="150"/>
      <c r="I26" s="178"/>
      <c r="K26" s="24"/>
      <c r="L26" s="24"/>
      <c r="M26" s="24"/>
      <c r="N26" s="24"/>
      <c r="O26" s="24"/>
    </row>
    <row r="27" spans="1:15" s="7" customFormat="1" ht="12" customHeight="1">
      <c r="A27" s="24" t="s">
        <v>337</v>
      </c>
      <c r="B27" s="24"/>
      <c r="C27" s="24"/>
      <c r="D27" s="24"/>
      <c r="E27" s="24"/>
      <c r="F27" s="24"/>
      <c r="G27" s="148"/>
      <c r="H27" s="150" t="s">
        <v>316</v>
      </c>
      <c r="I27" s="230">
        <v>0</v>
      </c>
      <c r="K27" s="24"/>
      <c r="L27" s="24"/>
      <c r="M27" s="24"/>
      <c r="N27" s="24"/>
      <c r="O27" s="24"/>
    </row>
    <row r="28" spans="1:15" s="7" customFormat="1" ht="10.5" customHeight="1">
      <c r="A28" s="1141" t="s">
        <v>338</v>
      </c>
      <c r="B28" s="1134"/>
      <c r="C28" s="1134"/>
      <c r="D28" s="1134"/>
      <c r="E28" s="1134"/>
      <c r="F28" s="1134"/>
      <c r="G28" s="148"/>
      <c r="H28" s="150" t="s">
        <v>316</v>
      </c>
      <c r="I28" s="231">
        <f>'Details of Deductions'!B9</f>
        <v>0</v>
      </c>
      <c r="K28" s="95">
        <f>I17</f>
        <v>0</v>
      </c>
      <c r="L28" s="24"/>
      <c r="M28" s="24"/>
      <c r="N28" s="24"/>
      <c r="O28" s="24"/>
    </row>
    <row r="29" spans="1:15" s="7" customFormat="1" ht="10.5" customHeight="1">
      <c r="A29" s="1142" t="s">
        <v>339</v>
      </c>
      <c r="B29" s="1142"/>
      <c r="C29" s="1142"/>
      <c r="D29" s="1142"/>
      <c r="E29" s="1142"/>
      <c r="F29" s="1142"/>
      <c r="G29" s="148"/>
      <c r="H29" s="150" t="s">
        <v>316</v>
      </c>
      <c r="I29" s="231">
        <f>IF(K28&gt;15000,15000,)</f>
        <v>0</v>
      </c>
      <c r="K29" s="24">
        <f>K30</f>
        <v>0</v>
      </c>
      <c r="L29" s="24"/>
      <c r="M29" s="24"/>
      <c r="N29" s="24"/>
      <c r="O29" s="24"/>
    </row>
    <row r="30" spans="1:15" s="7" customFormat="1" ht="10.5" customHeight="1">
      <c r="A30" s="52" t="s">
        <v>340</v>
      </c>
      <c r="B30" s="52"/>
      <c r="C30" s="75"/>
      <c r="D30" s="75"/>
      <c r="E30" s="75"/>
      <c r="F30" s="75"/>
      <c r="G30" s="148"/>
      <c r="H30" s="151" t="s">
        <v>316</v>
      </c>
      <c r="I30" s="180">
        <f>(I24-I25-(I27+I28+I29))</f>
        <v>737674</v>
      </c>
      <c r="K30" s="24">
        <f>'Personal Information'!AS31</f>
        <v>0</v>
      </c>
      <c r="L30" s="24"/>
      <c r="M30" s="24"/>
      <c r="N30" s="24"/>
      <c r="O30" s="24"/>
    </row>
    <row r="31" spans="1:15" s="7" customFormat="1" ht="12" customHeight="1">
      <c r="A31" s="52" t="s">
        <v>341</v>
      </c>
      <c r="B31" s="52"/>
      <c r="C31" s="52"/>
      <c r="D31" s="52"/>
      <c r="E31" s="75"/>
      <c r="F31" s="75"/>
      <c r="G31" s="148"/>
      <c r="H31" s="150" t="s">
        <v>316</v>
      </c>
      <c r="I31" s="178">
        <v>0</v>
      </c>
      <c r="K31" s="24"/>
      <c r="L31" s="24"/>
      <c r="M31" s="24"/>
      <c r="N31" s="24"/>
      <c r="O31" s="24"/>
    </row>
    <row r="32" spans="1:15" s="7" customFormat="1" ht="11.25" customHeight="1">
      <c r="A32" s="52" t="s">
        <v>342</v>
      </c>
      <c r="B32" s="52"/>
      <c r="C32" s="52"/>
      <c r="D32" s="52"/>
      <c r="E32" s="75"/>
      <c r="F32" s="75"/>
      <c r="G32" s="148"/>
      <c r="H32" s="151" t="s">
        <v>316</v>
      </c>
      <c r="I32" s="180">
        <f>SUM(I30:I31)</f>
        <v>737674</v>
      </c>
      <c r="K32" s="24"/>
      <c r="L32" s="95">
        <f>'Salary Details'!T27</f>
        <v>0</v>
      </c>
      <c r="M32" s="24"/>
      <c r="N32" s="24"/>
      <c r="O32" s="24"/>
    </row>
    <row r="33" spans="1:26" s="7" customFormat="1" ht="9.75" customHeight="1">
      <c r="A33" s="52" t="s">
        <v>343</v>
      </c>
      <c r="B33" s="52"/>
      <c r="C33" s="52"/>
      <c r="D33" s="52"/>
      <c r="E33" s="75"/>
      <c r="F33" s="75"/>
      <c r="G33" s="148"/>
      <c r="H33" s="150"/>
      <c r="I33" s="178"/>
      <c r="K33" s="24"/>
      <c r="L33" s="24"/>
      <c r="M33" s="24"/>
      <c r="N33" s="24"/>
      <c r="O33" s="24"/>
    </row>
    <row r="34" spans="1:26" s="7" customFormat="1" ht="10.5" customHeight="1">
      <c r="A34" s="52" t="s">
        <v>344</v>
      </c>
      <c r="B34" s="52"/>
      <c r="C34" s="52"/>
      <c r="D34" s="52"/>
      <c r="E34" s="52"/>
      <c r="F34" s="75"/>
      <c r="G34" s="148"/>
      <c r="H34" s="150"/>
      <c r="I34" s="178"/>
      <c r="K34" s="24"/>
      <c r="L34" s="24"/>
      <c r="M34" s="24"/>
      <c r="N34" s="24"/>
      <c r="O34" s="24"/>
    </row>
    <row r="35" spans="1:26" s="7" customFormat="1" ht="11.25" customHeight="1">
      <c r="A35" s="75"/>
      <c r="B35" s="75"/>
      <c r="C35" s="75"/>
      <c r="D35" s="1139" t="str">
        <f>O7</f>
        <v>1- G.P.F.</v>
      </c>
      <c r="E35" s="1139"/>
      <c r="F35" s="47"/>
      <c r="G35" s="48"/>
      <c r="H35" s="224" t="s">
        <v>316</v>
      </c>
      <c r="I35" s="178" t="str">
        <f>IF(O5="G",P7,P5)</f>
        <v/>
      </c>
      <c r="K35" s="198"/>
      <c r="L35" s="24"/>
      <c r="M35" s="24"/>
      <c r="N35" s="24"/>
      <c r="O35" s="24"/>
    </row>
    <row r="36" spans="1:26" s="7" customFormat="1" ht="9.75" customHeight="1">
      <c r="A36" s="75"/>
      <c r="B36" s="75"/>
      <c r="C36" s="75"/>
      <c r="D36" s="1139" t="s">
        <v>345</v>
      </c>
      <c r="E36" s="1139"/>
      <c r="F36" s="47"/>
      <c r="G36" s="48"/>
      <c r="H36" s="224" t="s">
        <v>316</v>
      </c>
      <c r="I36" s="178">
        <f>SUM('Salary Details'!$Q$27)</f>
        <v>4200</v>
      </c>
      <c r="K36" s="24"/>
      <c r="L36" s="24"/>
      <c r="M36" s="24"/>
      <c r="N36" s="24"/>
      <c r="O36" s="24"/>
    </row>
    <row r="37" spans="1:26" s="7" customFormat="1" ht="10.5" customHeight="1">
      <c r="A37" s="75"/>
      <c r="B37" s="75"/>
      <c r="C37" s="75"/>
      <c r="D37" s="1139" t="s">
        <v>346</v>
      </c>
      <c r="E37" s="1139"/>
      <c r="F37" s="47"/>
      <c r="G37" s="48"/>
      <c r="H37" s="224" t="s">
        <v>316</v>
      </c>
      <c r="I37" s="231">
        <f>'Details of Deductions'!B16</f>
        <v>0</v>
      </c>
      <c r="K37" s="24"/>
      <c r="L37" s="24"/>
      <c r="M37" s="24"/>
      <c r="N37" s="24"/>
      <c r="O37" s="24"/>
    </row>
    <row r="38" spans="1:26" s="7" customFormat="1" ht="11.25" customHeight="1">
      <c r="A38" s="75"/>
      <c r="B38" s="75"/>
      <c r="C38" s="75"/>
      <c r="D38" s="1139" t="s">
        <v>347</v>
      </c>
      <c r="E38" s="1139"/>
      <c r="F38" s="47"/>
      <c r="G38" s="48"/>
      <c r="H38" s="224" t="s">
        <v>316</v>
      </c>
      <c r="I38" s="231">
        <f>'Details of Deductions'!B12</f>
        <v>0</v>
      </c>
      <c r="K38" s="24"/>
      <c r="L38" s="24"/>
      <c r="M38" s="24"/>
      <c r="N38" s="24"/>
      <c r="O38" s="24"/>
    </row>
    <row r="39" spans="1:26" s="7" customFormat="1" ht="10.5" customHeight="1">
      <c r="A39" s="75"/>
      <c r="B39" s="75"/>
      <c r="C39" s="75"/>
      <c r="D39" s="1139" t="s">
        <v>348</v>
      </c>
      <c r="E39" s="1139"/>
      <c r="F39" s="47"/>
      <c r="G39" s="48"/>
      <c r="H39" s="224" t="s">
        <v>316</v>
      </c>
      <c r="I39" s="231">
        <f>'Details of Deductions'!B10</f>
        <v>0</v>
      </c>
      <c r="K39" s="24"/>
      <c r="L39" s="24"/>
      <c r="M39" s="24"/>
      <c r="N39" s="24"/>
      <c r="O39" s="24"/>
    </row>
    <row r="40" spans="1:26" s="7" customFormat="1" ht="10.5" customHeight="1">
      <c r="A40" s="75"/>
      <c r="B40" s="75"/>
      <c r="C40" s="75"/>
      <c r="D40" s="1139" t="s">
        <v>349</v>
      </c>
      <c r="E40" s="1139"/>
      <c r="F40" s="47"/>
      <c r="G40" s="48"/>
      <c r="H40" s="224" t="s">
        <v>316</v>
      </c>
      <c r="I40" s="231">
        <f>'Details of Deductions'!B14</f>
        <v>0</v>
      </c>
      <c r="K40" s="24"/>
      <c r="L40" s="24"/>
      <c r="M40" s="24"/>
      <c r="N40" s="24"/>
      <c r="O40" s="24"/>
    </row>
    <row r="41" spans="1:26" s="7" customFormat="1" ht="9.75" customHeight="1">
      <c r="A41" s="75"/>
      <c r="B41" s="75"/>
      <c r="C41" s="75"/>
      <c r="D41" s="1139" t="s">
        <v>350</v>
      </c>
      <c r="E41" s="1139"/>
      <c r="F41" s="47"/>
      <c r="G41" s="48"/>
      <c r="H41" s="224" t="s">
        <v>316</v>
      </c>
      <c r="I41" s="231">
        <f>'Details of Deductions'!B11</f>
        <v>0</v>
      </c>
      <c r="K41" s="24"/>
      <c r="L41" s="24"/>
      <c r="M41" s="24"/>
      <c r="N41" s="24"/>
      <c r="O41" s="24"/>
    </row>
    <row r="42" spans="1:26" s="7" customFormat="1" ht="10.5" customHeight="1">
      <c r="A42" s="75"/>
      <c r="B42" s="75"/>
      <c r="C42" s="75"/>
      <c r="D42" s="1139" t="s">
        <v>351</v>
      </c>
      <c r="E42" s="1139"/>
      <c r="F42" s="1139"/>
      <c r="G42" s="48"/>
      <c r="H42" s="224" t="s">
        <v>316</v>
      </c>
      <c r="I42" s="231">
        <f>'Details of Deductions'!B8</f>
        <v>0</v>
      </c>
      <c r="K42" s="24"/>
      <c r="L42" s="24"/>
      <c r="M42" s="24"/>
      <c r="N42" s="24"/>
      <c r="O42" s="24"/>
    </row>
    <row r="43" spans="1:26" s="7" customFormat="1" ht="12.75" customHeight="1">
      <c r="A43" s="75"/>
      <c r="B43" s="75"/>
      <c r="C43" s="75"/>
      <c r="D43" s="24" t="s">
        <v>352</v>
      </c>
      <c r="E43" s="24"/>
      <c r="F43" s="47"/>
      <c r="G43" s="48"/>
      <c r="H43" s="224" t="s">
        <v>316</v>
      </c>
      <c r="I43" s="178">
        <f>L43</f>
        <v>64456</v>
      </c>
      <c r="K43" s="197">
        <f>SUM('Salary Details'!$N$27+'Salary Details'!O27)</f>
        <v>64456</v>
      </c>
      <c r="L43" s="178">
        <f>IF(M43="C",K43,IF(M43="G",0,))</f>
        <v>64456</v>
      </c>
      <c r="M43" s="199" t="str">
        <f>'Salary Details'!$AG$5</f>
        <v>C</v>
      </c>
      <c r="N43" s="24"/>
      <c r="O43" s="24"/>
    </row>
    <row r="44" spans="1:26" s="7" customFormat="1" ht="12.75" customHeight="1">
      <c r="A44" s="75"/>
      <c r="B44" s="75"/>
      <c r="C44" s="75"/>
      <c r="D44" s="24" t="s">
        <v>353</v>
      </c>
      <c r="E44" s="24"/>
      <c r="F44" s="47"/>
      <c r="G44" s="48"/>
      <c r="H44" s="224" t="s">
        <v>316</v>
      </c>
      <c r="I44" s="231">
        <f>'Details of Deductions'!B18</f>
        <v>0</v>
      </c>
      <c r="K44" s="197"/>
      <c r="L44" s="178"/>
      <c r="M44" s="199"/>
      <c r="N44" s="24"/>
      <c r="O44" s="24"/>
      <c r="S44"/>
      <c r="T44"/>
      <c r="U44"/>
      <c r="V44"/>
      <c r="W44"/>
      <c r="X44"/>
      <c r="Y44"/>
      <c r="Z44"/>
    </row>
    <row r="45" spans="1:26" s="7" customFormat="1" ht="11.25" customHeight="1">
      <c r="A45" s="45" t="s">
        <v>354</v>
      </c>
      <c r="B45" s="45"/>
      <c r="C45" s="45"/>
      <c r="D45" s="45"/>
      <c r="E45" s="45"/>
      <c r="F45" s="24"/>
      <c r="G45" s="48"/>
      <c r="H45" s="225" t="s">
        <v>316</v>
      </c>
      <c r="I45" s="180">
        <f>SUM(I35:I44)</f>
        <v>68656</v>
      </c>
      <c r="K45" s="24"/>
      <c r="L45" s="24"/>
      <c r="M45" s="24"/>
      <c r="N45" s="24"/>
      <c r="O45" s="24"/>
      <c r="S45"/>
      <c r="T45"/>
      <c r="U45"/>
      <c r="V45"/>
      <c r="W45"/>
      <c r="X45"/>
      <c r="Y45"/>
      <c r="Z45"/>
    </row>
    <row r="46" spans="1:26" s="7" customFormat="1" ht="10.5" customHeight="1">
      <c r="A46" s="45" t="s">
        <v>355</v>
      </c>
      <c r="B46" s="45"/>
      <c r="C46" s="45"/>
      <c r="D46" s="45"/>
      <c r="E46" s="45"/>
      <c r="F46" s="24"/>
      <c r="G46" s="48"/>
      <c r="H46" s="225"/>
      <c r="I46" s="180">
        <f>IF(I45&lt;150000,I45,150000)</f>
        <v>68656</v>
      </c>
      <c r="K46" s="24"/>
      <c r="L46" s="95">
        <f>I36+I37+I38+I39+I40+I41+I42+K43+I44</f>
        <v>68656</v>
      </c>
      <c r="M46" s="24"/>
      <c r="N46" s="24"/>
      <c r="O46" s="24"/>
      <c r="S46"/>
      <c r="T46"/>
      <c r="U46"/>
      <c r="V46"/>
      <c r="W46"/>
      <c r="X46"/>
      <c r="Y46"/>
      <c r="Z46"/>
    </row>
    <row r="47" spans="1:26" s="7" customFormat="1">
      <c r="A47" s="52" t="s">
        <v>356</v>
      </c>
      <c r="B47" s="52"/>
      <c r="C47" s="52"/>
      <c r="D47" s="52"/>
      <c r="E47" s="75"/>
      <c r="F47" s="75"/>
      <c r="G47" s="148"/>
      <c r="H47" s="150"/>
      <c r="I47" s="178"/>
      <c r="K47" s="24"/>
      <c r="L47" s="24"/>
      <c r="M47" s="24"/>
      <c r="N47" s="24"/>
      <c r="O47" s="24"/>
      <c r="S47"/>
      <c r="T47"/>
      <c r="U47"/>
      <c r="V47"/>
      <c r="W47"/>
      <c r="X47"/>
      <c r="Y47"/>
      <c r="Z47"/>
    </row>
    <row r="48" spans="1:26" s="7" customFormat="1" ht="11.25" customHeight="1">
      <c r="A48" s="1139" t="s">
        <v>357</v>
      </c>
      <c r="B48" s="1139"/>
      <c r="C48" s="1139"/>
      <c r="D48" s="1139"/>
      <c r="E48" s="1139"/>
      <c r="F48" s="1139"/>
      <c r="G48" s="48"/>
      <c r="H48" s="224" t="s">
        <v>316</v>
      </c>
      <c r="I48" s="231">
        <f>IF(O5="G",M56,L56)</f>
        <v>0</v>
      </c>
      <c r="K48" s="24">
        <f>IF(L46&gt;150000,L46-(150000),IF(L46&lt;=150000,0))</f>
        <v>0</v>
      </c>
      <c r="L48" s="95">
        <f>K43</f>
        <v>64456</v>
      </c>
      <c r="M48" s="95"/>
      <c r="N48" s="24"/>
      <c r="O48" s="24"/>
      <c r="S48" s="233" t="s">
        <v>358</v>
      </c>
      <c r="T48" s="233" t="s">
        <v>256</v>
      </c>
      <c r="U48" s="233" t="s">
        <v>359</v>
      </c>
      <c r="V48" s="233" t="s">
        <v>360</v>
      </c>
      <c r="W48" s="233" t="s">
        <v>361</v>
      </c>
      <c r="X48" s="233" t="s">
        <v>362</v>
      </c>
      <c r="Y48" s="138"/>
      <c r="Z48"/>
    </row>
    <row r="49" spans="1:26" s="7" customFormat="1" ht="11.25" customHeight="1">
      <c r="A49" s="1139" t="s">
        <v>363</v>
      </c>
      <c r="B49" s="1139"/>
      <c r="C49" s="1139"/>
      <c r="D49" s="1139"/>
      <c r="E49" s="1139"/>
      <c r="F49" s="1139"/>
      <c r="G49" s="48"/>
      <c r="H49" s="224" t="s">
        <v>316</v>
      </c>
      <c r="I49" s="231">
        <f>'Salary Details'!P27</f>
        <v>90240</v>
      </c>
      <c r="K49" s="24"/>
      <c r="L49" s="95"/>
      <c r="M49" s="95"/>
      <c r="N49" s="24"/>
      <c r="O49" s="24"/>
      <c r="S49" s="233" t="s">
        <v>364</v>
      </c>
      <c r="T49" s="234">
        <f>X49*W49</f>
        <v>0</v>
      </c>
      <c r="U49" s="234">
        <v>250000</v>
      </c>
      <c r="V49" s="234"/>
      <c r="W49" s="235">
        <f>U49</f>
        <v>250000</v>
      </c>
      <c r="X49" s="236">
        <v>0</v>
      </c>
      <c r="Y49" s="238"/>
      <c r="Z49"/>
    </row>
    <row r="50" spans="1:26" s="7" customFormat="1" ht="12" customHeight="1">
      <c r="A50" s="1134" t="s">
        <v>365</v>
      </c>
      <c r="B50" s="1134"/>
      <c r="C50" s="1134"/>
      <c r="D50" s="1134"/>
      <c r="E50" s="1134"/>
      <c r="F50" s="1134"/>
      <c r="G50" s="48"/>
      <c r="H50" s="224" t="s">
        <v>316</v>
      </c>
      <c r="I50" s="231">
        <f>L50+M50</f>
        <v>0</v>
      </c>
      <c r="K50" s="24"/>
      <c r="L50" s="95">
        <f>'Salary Details'!T27</f>
        <v>0</v>
      </c>
      <c r="M50" s="95">
        <f>'Details of Deductions'!E8</f>
        <v>0</v>
      </c>
      <c r="N50" s="24"/>
      <c r="O50" s="24"/>
      <c r="S50" s="233" t="s">
        <v>366</v>
      </c>
      <c r="T50" s="234">
        <f>MAX(0,MIN(X50*W50,X50*V50))</f>
        <v>12500</v>
      </c>
      <c r="U50" s="234">
        <v>500000</v>
      </c>
      <c r="V50" s="234">
        <f>U50-U49</f>
        <v>250000</v>
      </c>
      <c r="W50" s="235">
        <f>I58-W49</f>
        <v>328778</v>
      </c>
      <c r="X50" s="236">
        <v>0.05</v>
      </c>
      <c r="Y50" s="238"/>
      <c r="Z50"/>
    </row>
    <row r="51" spans="1:26" s="7" customFormat="1" ht="11.25" customHeight="1">
      <c r="A51" s="1134" t="s">
        <v>367</v>
      </c>
      <c r="B51" s="1134"/>
      <c r="C51" s="1134"/>
      <c r="D51" s="1134"/>
      <c r="E51" s="1134"/>
      <c r="F51" s="1134"/>
      <c r="G51" s="48"/>
      <c r="H51" s="224" t="s">
        <v>316</v>
      </c>
      <c r="I51" s="231">
        <f>'Details of Deductions'!E9</f>
        <v>0</v>
      </c>
      <c r="K51" s="24"/>
      <c r="L51" s="24"/>
      <c r="M51" s="24"/>
      <c r="N51" s="24"/>
      <c r="O51" s="24"/>
      <c r="S51" s="233" t="s">
        <v>368</v>
      </c>
      <c r="T51" s="234">
        <f>MAX(0,MIN(X51*W51,X51*V51))</f>
        <v>15755.6</v>
      </c>
      <c r="U51" s="234">
        <v>1000000</v>
      </c>
      <c r="V51" s="234">
        <f>U51-U50</f>
        <v>500000</v>
      </c>
      <c r="W51" s="234">
        <f>W50-V50</f>
        <v>78778</v>
      </c>
      <c r="X51" s="236">
        <v>0.2</v>
      </c>
      <c r="Y51" s="238"/>
      <c r="Z51"/>
    </row>
    <row r="52" spans="1:26" s="7" customFormat="1" ht="11.25" customHeight="1">
      <c r="A52" s="1139" t="s">
        <v>369</v>
      </c>
      <c r="B52" s="1139"/>
      <c r="C52" s="1139"/>
      <c r="D52" s="1139"/>
      <c r="E52" s="1139"/>
      <c r="F52" s="1139"/>
      <c r="G52" s="1140"/>
      <c r="H52" s="224" t="s">
        <v>316</v>
      </c>
      <c r="I52" s="231">
        <f>'Details of Deductions'!E10</f>
        <v>0</v>
      </c>
      <c r="K52" s="24"/>
      <c r="L52" s="24"/>
      <c r="M52" s="24"/>
      <c r="N52" s="24"/>
      <c r="O52" s="24"/>
      <c r="S52" s="233" t="s">
        <v>370</v>
      </c>
      <c r="T52" s="234">
        <f>MAX(0,MIN(X52*W52,X52*V52))</f>
        <v>0</v>
      </c>
      <c r="U52" s="234"/>
      <c r="V52" s="237">
        <f>I58-U51</f>
        <v>-421222</v>
      </c>
      <c r="W52" s="237">
        <f>W51-V51</f>
        <v>-421222</v>
      </c>
      <c r="X52" s="236">
        <v>0.3</v>
      </c>
      <c r="Y52" s="238"/>
      <c r="Z52"/>
    </row>
    <row r="53" spans="1:26" s="7" customFormat="1" ht="11.25" customHeight="1">
      <c r="A53" s="1134" t="s">
        <v>371</v>
      </c>
      <c r="B53" s="1134"/>
      <c r="C53" s="1134"/>
      <c r="D53" s="1134"/>
      <c r="E53" s="1134"/>
      <c r="F53" s="1134"/>
      <c r="G53" s="48"/>
      <c r="H53" s="224" t="s">
        <v>316</v>
      </c>
      <c r="I53" s="231">
        <f>'Details of Deductions'!E11</f>
        <v>0</v>
      </c>
      <c r="K53" s="24"/>
      <c r="L53" s="24"/>
      <c r="M53" s="24">
        <f>'Personal Information'!AF3</f>
        <v>59</v>
      </c>
      <c r="N53" s="24"/>
      <c r="O53" s="24"/>
      <c r="S53" s="233" t="s">
        <v>372</v>
      </c>
      <c r="T53" s="234">
        <f>SUM(T49:T52)</f>
        <v>28255.599999999999</v>
      </c>
      <c r="U53" s="234"/>
      <c r="V53" s="234"/>
      <c r="W53" s="234"/>
      <c r="X53" s="236"/>
      <c r="Y53" s="238"/>
      <c r="Z53"/>
    </row>
    <row r="54" spans="1:26" s="7" customFormat="1" ht="10.5" customHeight="1">
      <c r="A54" s="1135" t="s">
        <v>373</v>
      </c>
      <c r="B54" s="1135"/>
      <c r="C54" s="1135"/>
      <c r="D54" s="1135"/>
      <c r="E54" s="1135"/>
      <c r="F54" s="1135"/>
      <c r="G54" s="48"/>
      <c r="H54" s="224" t="s">
        <v>316</v>
      </c>
      <c r="I54" s="231">
        <v>0</v>
      </c>
      <c r="K54" s="24"/>
      <c r="L54" s="24"/>
      <c r="M54" s="24"/>
      <c r="N54" s="24"/>
      <c r="O54" s="24"/>
      <c r="S54" s="233"/>
      <c r="T54" s="233"/>
      <c r="U54" s="233"/>
      <c r="V54" s="233"/>
      <c r="W54" s="233"/>
      <c r="X54" s="233"/>
      <c r="Y54" s="238"/>
      <c r="Z54"/>
    </row>
    <row r="55" spans="1:26" s="7" customFormat="1" ht="11.25" customHeight="1">
      <c r="A55" s="1134" t="s">
        <v>374</v>
      </c>
      <c r="B55" s="1134"/>
      <c r="C55" s="1134"/>
      <c r="D55" s="1134"/>
      <c r="E55" s="1134"/>
      <c r="F55" s="1134"/>
      <c r="G55" s="48"/>
      <c r="H55" s="224" t="s">
        <v>316</v>
      </c>
      <c r="I55" s="231">
        <f>'Details of Deductions'!E13</f>
        <v>0</v>
      </c>
      <c r="K55" s="24"/>
      <c r="L55" s="24"/>
      <c r="M55" s="24"/>
      <c r="N55" s="24"/>
      <c r="O55" s="24"/>
      <c r="S55" s="233" t="s">
        <v>375</v>
      </c>
      <c r="T55" s="233" t="s">
        <v>256</v>
      </c>
      <c r="U55" s="233" t="s">
        <v>359</v>
      </c>
      <c r="V55" s="233" t="s">
        <v>360</v>
      </c>
      <c r="W55" s="233" t="s">
        <v>361</v>
      </c>
      <c r="X55" s="233" t="s">
        <v>362</v>
      </c>
      <c r="Y55" s="238"/>
      <c r="Z55"/>
    </row>
    <row r="56" spans="1:26" s="7" customFormat="1" ht="12" customHeight="1">
      <c r="A56" s="75"/>
      <c r="B56" s="1136" t="s">
        <v>376</v>
      </c>
      <c r="C56" s="1136"/>
      <c r="D56" s="1136"/>
      <c r="E56" s="1136"/>
      <c r="F56" s="1136"/>
      <c r="G56" s="148"/>
      <c r="H56" s="150"/>
      <c r="I56" s="180">
        <f>SUM(I48:I55)</f>
        <v>90240</v>
      </c>
      <c r="K56" s="24"/>
      <c r="L56" s="95">
        <f>IF(K48&lt;=50000,K48,IF(K48&gt;50000,50000))</f>
        <v>0</v>
      </c>
      <c r="M56" s="24">
        <v>0</v>
      </c>
      <c r="N56" s="24"/>
      <c r="O56" s="24"/>
      <c r="S56" s="233" t="s">
        <v>377</v>
      </c>
      <c r="T56" s="234">
        <f>X56*W56</f>
        <v>0</v>
      </c>
      <c r="U56" s="234">
        <v>300000</v>
      </c>
      <c r="V56" s="234"/>
      <c r="W56" s="234">
        <f>U56</f>
        <v>300000</v>
      </c>
      <c r="X56" s="236">
        <v>0</v>
      </c>
      <c r="Y56" s="238"/>
      <c r="Z56"/>
    </row>
    <row r="57" spans="1:26" s="7" customFormat="1" ht="11.25" customHeight="1">
      <c r="A57" s="52" t="s">
        <v>378</v>
      </c>
      <c r="B57" s="159"/>
      <c r="C57" s="159"/>
      <c r="D57" s="159"/>
      <c r="E57" s="52"/>
      <c r="F57" s="52"/>
      <c r="G57" s="148"/>
      <c r="H57" s="150"/>
      <c r="I57" s="180">
        <f>I46+I56</f>
        <v>158896</v>
      </c>
      <c r="K57" s="24"/>
      <c r="L57" s="24"/>
      <c r="M57" s="24"/>
      <c r="N57" s="24"/>
      <c r="O57" s="24"/>
      <c r="S57" s="233" t="s">
        <v>379</v>
      </c>
      <c r="T57" s="234">
        <f>MAX(0,MIN(X57*W57,X57*V57))</f>
        <v>10000</v>
      </c>
      <c r="U57" s="234">
        <v>500000</v>
      </c>
      <c r="V57" s="234">
        <f>U57-U56</f>
        <v>200000</v>
      </c>
      <c r="W57" s="237">
        <f>I58-W56</f>
        <v>278778</v>
      </c>
      <c r="X57" s="236">
        <v>0.05</v>
      </c>
      <c r="Y57" s="238"/>
      <c r="Z57"/>
    </row>
    <row r="58" spans="1:26" s="7" customFormat="1" ht="11.25" customHeight="1">
      <c r="A58" s="52" t="s">
        <v>380</v>
      </c>
      <c r="B58" s="52"/>
      <c r="C58" s="52"/>
      <c r="D58" s="52"/>
      <c r="E58" s="52"/>
      <c r="F58" s="75"/>
      <c r="G58" s="148"/>
      <c r="H58" s="151" t="s">
        <v>316</v>
      </c>
      <c r="I58" s="180">
        <f>(I32-(I46+I48+I50+I49+I51+I52+I53+I54+I55))</f>
        <v>578778</v>
      </c>
      <c r="K58" s="24"/>
      <c r="L58" s="24"/>
      <c r="M58" s="24"/>
      <c r="N58" s="24"/>
      <c r="O58" s="24"/>
      <c r="S58" s="233" t="s">
        <v>368</v>
      </c>
      <c r="T58" s="234">
        <f>MAX(0,MIN(X58*W58,X58*V58))</f>
        <v>15755.6</v>
      </c>
      <c r="U58" s="234">
        <v>1000000</v>
      </c>
      <c r="V58" s="234">
        <f>U58-U57</f>
        <v>500000</v>
      </c>
      <c r="W58" s="234">
        <f>W57-V57</f>
        <v>78778</v>
      </c>
      <c r="X58" s="236">
        <v>0.2</v>
      </c>
      <c r="Y58" s="238"/>
      <c r="Z58"/>
    </row>
    <row r="59" spans="1:26" s="7" customFormat="1" ht="12" customHeight="1">
      <c r="A59" s="52" t="s">
        <v>381</v>
      </c>
      <c r="B59" s="52"/>
      <c r="C59" s="52"/>
      <c r="D59" s="52"/>
      <c r="E59" s="52"/>
      <c r="F59" s="75"/>
      <c r="G59" s="148"/>
      <c r="H59" s="150"/>
      <c r="I59" s="178"/>
      <c r="K59" s="24"/>
      <c r="L59" s="24"/>
      <c r="M59" s="24"/>
      <c r="N59" s="24"/>
      <c r="O59" s="24"/>
      <c r="S59" s="233" t="s">
        <v>370</v>
      </c>
      <c r="T59" s="234">
        <f>MAX(0,MIN(X59*W59,X59*V59))</f>
        <v>0</v>
      </c>
      <c r="U59" s="234"/>
      <c r="V59" s="237">
        <f>I58-U58</f>
        <v>-421222</v>
      </c>
      <c r="W59" s="234">
        <f>W58-V58</f>
        <v>-421222</v>
      </c>
      <c r="X59" s="236">
        <v>0.3</v>
      </c>
      <c r="Y59" s="239"/>
      <c r="Z59"/>
    </row>
    <row r="60" spans="1:26" s="7" customFormat="1">
      <c r="A60" s="1137" t="s">
        <v>382</v>
      </c>
      <c r="B60" s="1137"/>
      <c r="C60" s="1137"/>
      <c r="D60" s="1137"/>
      <c r="E60" s="1137"/>
      <c r="F60" s="1137"/>
      <c r="G60" s="1138"/>
      <c r="H60" s="150" t="s">
        <v>316</v>
      </c>
      <c r="I60" s="178">
        <f>N64</f>
        <v>0</v>
      </c>
      <c r="K60" s="24">
        <f>IF(D60=500000,12500,)</f>
        <v>0</v>
      </c>
      <c r="L60" s="24"/>
      <c r="M60" s="24"/>
      <c r="N60" s="24"/>
      <c r="O60" s="24"/>
      <c r="S60" s="233" t="s">
        <v>372</v>
      </c>
      <c r="T60" s="234">
        <f>SUM(T56:T59)</f>
        <v>25755.599999999999</v>
      </c>
      <c r="U60" s="234"/>
      <c r="V60" s="234"/>
      <c r="W60" s="234"/>
      <c r="X60" s="236"/>
      <c r="Y60" s="238"/>
      <c r="Z60"/>
    </row>
    <row r="61" spans="1:26" s="7" customFormat="1">
      <c r="A61" s="52"/>
      <c r="B61" s="52" t="s">
        <v>383</v>
      </c>
      <c r="C61" s="52"/>
      <c r="D61" s="226"/>
      <c r="E61" s="52"/>
      <c r="F61" s="52"/>
      <c r="G61" s="227"/>
      <c r="H61" s="151" t="s">
        <v>316</v>
      </c>
      <c r="I61" s="180">
        <f>K62</f>
        <v>28255.599999999999</v>
      </c>
      <c r="K61" s="24"/>
      <c r="L61" s="24"/>
      <c r="M61" s="213">
        <v>500000</v>
      </c>
      <c r="N61" s="24"/>
      <c r="S61" s="233"/>
      <c r="T61" s="233"/>
      <c r="U61" s="233"/>
      <c r="V61" s="233"/>
      <c r="W61" s="233"/>
      <c r="X61" s="233"/>
      <c r="Y61" s="238"/>
      <c r="Z61"/>
    </row>
    <row r="62" spans="1:26" s="130" customFormat="1">
      <c r="A62" s="162"/>
      <c r="B62" s="162" t="s">
        <v>384</v>
      </c>
      <c r="C62" s="162"/>
      <c r="D62" s="162"/>
      <c r="E62" s="162"/>
      <c r="F62" s="162"/>
      <c r="G62" s="163"/>
      <c r="H62" s="150" t="s">
        <v>316</v>
      </c>
      <c r="I62" s="178">
        <f>ROUND(K63,0)</f>
        <v>0</v>
      </c>
      <c r="K62" s="214">
        <f>MAX(SUM(IF(M53&gt;80,T66,(IF(M53&gt;60,T60,T53))),I60),0)</f>
        <v>28255.599999999999</v>
      </c>
      <c r="L62" s="45"/>
      <c r="M62" s="45"/>
      <c r="N62" s="45"/>
      <c r="O62" s="45"/>
      <c r="S62" s="233" t="s">
        <v>385</v>
      </c>
      <c r="T62" s="233" t="s">
        <v>256</v>
      </c>
      <c r="U62" s="233" t="s">
        <v>359</v>
      </c>
      <c r="V62" s="233" t="s">
        <v>360</v>
      </c>
      <c r="W62" s="233" t="s">
        <v>361</v>
      </c>
      <c r="X62" s="233" t="s">
        <v>362</v>
      </c>
      <c r="Y62" s="238"/>
      <c r="Z62" s="64"/>
    </row>
    <row r="63" spans="1:26" s="7" customFormat="1">
      <c r="A63" s="162"/>
      <c r="B63" s="162" t="s">
        <v>386</v>
      </c>
      <c r="C63" s="162"/>
      <c r="D63" s="162"/>
      <c r="E63" s="162"/>
      <c r="F63" s="162"/>
      <c r="G63" s="163"/>
      <c r="H63" s="150"/>
      <c r="I63" s="178"/>
      <c r="K63" s="24">
        <f>IF(I60&gt;=10000000,I61*15%,(IF(I60&gt;=5000000,I61*10%,0)))</f>
        <v>0</v>
      </c>
      <c r="L63" s="24"/>
      <c r="M63" s="24"/>
      <c r="N63" s="24"/>
      <c r="O63" s="24"/>
      <c r="S63" s="233" t="s">
        <v>387</v>
      </c>
      <c r="T63" s="234">
        <f>X63*W63</f>
        <v>0</v>
      </c>
      <c r="U63" s="234">
        <v>500000</v>
      </c>
      <c r="V63" s="234"/>
      <c r="W63" s="234">
        <f>U63</f>
        <v>500000</v>
      </c>
      <c r="X63" s="236">
        <v>0</v>
      </c>
      <c r="Y63" s="238"/>
      <c r="Z63"/>
    </row>
    <row r="64" spans="1:26" s="7" customFormat="1" ht="12.75" customHeight="1">
      <c r="A64" s="1131"/>
      <c r="B64" s="1132"/>
      <c r="C64" s="1132"/>
      <c r="D64" s="1132"/>
      <c r="E64" s="1132"/>
      <c r="F64" s="1132"/>
      <c r="G64" s="228"/>
      <c r="H64" s="229"/>
      <c r="I64" s="180"/>
      <c r="K64" s="24">
        <f>IF(I58&gt;1000000,(I58-1000000)*30/100,0)</f>
        <v>0</v>
      </c>
      <c r="L64" s="24"/>
      <c r="M64" s="24"/>
      <c r="N64" s="24">
        <f>-IF(I58&lt;=500000,12500,0)</f>
        <v>0</v>
      </c>
      <c r="O64" s="24"/>
      <c r="S64" s="233" t="s">
        <v>368</v>
      </c>
      <c r="T64" s="234">
        <f>MAX(0,MIN(X64*W64,X64*V64))</f>
        <v>15755.6</v>
      </c>
      <c r="U64" s="234">
        <v>1000000</v>
      </c>
      <c r="V64" s="234">
        <f>U64-U63</f>
        <v>500000</v>
      </c>
      <c r="W64" s="237">
        <f>I58-W63</f>
        <v>78778</v>
      </c>
      <c r="X64" s="236">
        <v>0.2</v>
      </c>
      <c r="Y64" s="238"/>
      <c r="Z64"/>
    </row>
    <row r="65" spans="1:26" s="7" customFormat="1" ht="15" customHeight="1">
      <c r="A65" s="171" t="s">
        <v>388</v>
      </c>
      <c r="B65" s="171"/>
      <c r="C65" s="172"/>
      <c r="D65" s="172"/>
      <c r="E65" s="172"/>
      <c r="F65" s="172"/>
      <c r="G65" s="173"/>
      <c r="H65" s="174" t="s">
        <v>316</v>
      </c>
      <c r="I65" s="183">
        <f>0.04*SUM(I61,I62)</f>
        <v>1130.2239999999999</v>
      </c>
      <c r="K65" s="24"/>
      <c r="L65" s="24"/>
      <c r="M65" s="24"/>
      <c r="N65" s="24"/>
      <c r="O65" s="24"/>
      <c r="S65" s="233" t="s">
        <v>370</v>
      </c>
      <c r="T65" s="234">
        <f>MAX(0,MIN(X65*W65,X65*V65))</f>
        <v>0</v>
      </c>
      <c r="U65" s="234"/>
      <c r="V65" s="234">
        <f>U65-U64</f>
        <v>-1000000</v>
      </c>
      <c r="W65" s="234">
        <f>W64-V64</f>
        <v>-421222</v>
      </c>
      <c r="X65" s="236">
        <v>0.3</v>
      </c>
      <c r="Y65" s="238"/>
      <c r="Z65"/>
    </row>
    <row r="66" spans="1:26" s="7" customFormat="1" ht="13.5" customHeight="1">
      <c r="A66" s="52"/>
      <c r="B66" s="52"/>
      <c r="C66" s="52"/>
      <c r="D66" s="52"/>
      <c r="E66" s="52" t="s">
        <v>389</v>
      </c>
      <c r="F66" s="52"/>
      <c r="G66" s="148"/>
      <c r="H66" s="174" t="s">
        <v>316</v>
      </c>
      <c r="I66" s="178">
        <f>L73</f>
        <v>0</v>
      </c>
      <c r="K66" s="197">
        <f>IF(I58&lt;350000,I61,IF(I58=350000,I61,IF(I58&gt;350000,0)))</f>
        <v>0</v>
      </c>
      <c r="L66" s="51">
        <f>IF(K66&gt;2500,2500,IF(K66=2500,2500,IF(K66&lt;2500,0,0)))</f>
        <v>0</v>
      </c>
      <c r="M66" s="24"/>
      <c r="N66" s="24"/>
      <c r="O66" s="24"/>
      <c r="S66" s="233" t="s">
        <v>372</v>
      </c>
      <c r="T66" s="234">
        <f>SUM(T63:T65)</f>
        <v>15755.6</v>
      </c>
      <c r="U66" s="234"/>
      <c r="V66" s="234"/>
      <c r="W66" s="234"/>
      <c r="X66" s="236"/>
      <c r="Y66" s="238"/>
      <c r="Z66"/>
    </row>
    <row r="67" spans="1:26" s="7" customFormat="1" ht="12.75" customHeight="1">
      <c r="A67" s="142"/>
      <c r="B67" s="142"/>
      <c r="C67" s="142"/>
      <c r="D67" s="142"/>
      <c r="E67" s="142"/>
      <c r="F67" s="142"/>
      <c r="G67" s="142"/>
      <c r="H67" s="240"/>
      <c r="I67" s="142"/>
      <c r="K67" s="24"/>
      <c r="L67" s="24"/>
      <c r="M67" s="24"/>
      <c r="N67" s="24"/>
      <c r="O67" s="24"/>
      <c r="S67"/>
      <c r="T67"/>
      <c r="U67"/>
      <c r="V67"/>
      <c r="W67"/>
      <c r="X67"/>
      <c r="Y67"/>
      <c r="Z67"/>
    </row>
    <row r="68" spans="1:26" s="142" customFormat="1" ht="10.5" customHeight="1">
      <c r="A68" s="52" t="s">
        <v>390</v>
      </c>
      <c r="B68" s="52"/>
      <c r="C68" s="52"/>
      <c r="D68" s="52"/>
      <c r="E68" s="52"/>
      <c r="F68" s="52"/>
      <c r="G68" s="148"/>
      <c r="H68" s="170" t="s">
        <v>316</v>
      </c>
      <c r="I68" s="180">
        <f>SUM(I61:I67)</f>
        <v>29385.823999999997</v>
      </c>
      <c r="K68" s="216">
        <f>(I66*4%)</f>
        <v>0</v>
      </c>
      <c r="L68" s="217"/>
      <c r="M68" s="217"/>
      <c r="N68" s="217"/>
      <c r="O68" s="217"/>
      <c r="S68"/>
      <c r="T68"/>
      <c r="U68"/>
      <c r="V68"/>
      <c r="W68"/>
      <c r="X68"/>
      <c r="Y68"/>
      <c r="Z68" s="215"/>
    </row>
    <row r="69" spans="1:26" s="7" customFormat="1" ht="12" customHeight="1">
      <c r="A69" s="52"/>
      <c r="B69" s="52"/>
      <c r="C69" s="52"/>
      <c r="D69" s="52"/>
      <c r="E69" s="52" t="s">
        <v>391</v>
      </c>
      <c r="F69" s="52"/>
      <c r="G69" s="176"/>
      <c r="H69" s="170" t="s">
        <v>316</v>
      </c>
      <c r="I69" s="180">
        <f>IF((L70-I68)&lt;10,L70,K70)</f>
        <v>29390</v>
      </c>
      <c r="K69" s="24"/>
      <c r="L69" s="24"/>
      <c r="M69" s="24"/>
      <c r="N69" s="24"/>
      <c r="O69" s="24"/>
      <c r="S69"/>
      <c r="T69"/>
      <c r="U69"/>
      <c r="V69"/>
      <c r="W69"/>
      <c r="X69"/>
      <c r="Y69"/>
      <c r="Z69"/>
    </row>
    <row r="70" spans="1:26" s="7" customFormat="1" ht="12" customHeight="1">
      <c r="A70" s="52" t="s">
        <v>392</v>
      </c>
      <c r="B70" s="52"/>
      <c r="C70" s="52"/>
      <c r="D70" s="52"/>
      <c r="E70" s="52"/>
      <c r="F70" s="52"/>
      <c r="G70" s="148"/>
      <c r="H70" s="170" t="s">
        <v>316</v>
      </c>
      <c r="I70" s="180">
        <f>SUM('Salary Details'!$R$27)</f>
        <v>22000</v>
      </c>
      <c r="K70" s="95">
        <f>ROUND((I68),-1)</f>
        <v>29390</v>
      </c>
      <c r="L70" s="95">
        <f>(ROUND((I68+10),-1))</f>
        <v>29400</v>
      </c>
      <c r="M70" s="24"/>
      <c r="N70" s="24"/>
      <c r="O70" s="24"/>
      <c r="S70"/>
      <c r="T70"/>
      <c r="U70"/>
      <c r="V70"/>
      <c r="W70"/>
      <c r="X70"/>
      <c r="Y70"/>
      <c r="Z70"/>
    </row>
    <row r="71" spans="1:26" s="7" customFormat="1" ht="15" customHeight="1">
      <c r="A71" s="206" t="s">
        <v>393</v>
      </c>
      <c r="B71" s="206"/>
      <c r="C71" s="206"/>
      <c r="D71" s="206"/>
      <c r="E71" s="206"/>
      <c r="F71" s="206"/>
      <c r="G71" s="207"/>
      <c r="H71" s="170" t="s">
        <v>316</v>
      </c>
      <c r="I71" s="180">
        <f>SUM(I69)-I70</f>
        <v>7390</v>
      </c>
      <c r="K71" s="24"/>
      <c r="L71" s="24"/>
      <c r="M71" s="24"/>
      <c r="N71" s="24"/>
      <c r="O71" s="24"/>
      <c r="S71"/>
      <c r="T71"/>
      <c r="U71"/>
      <c r="V71"/>
      <c r="W71"/>
      <c r="X71"/>
      <c r="Y71"/>
      <c r="Z71"/>
    </row>
    <row r="72" spans="1:26" s="7" customFormat="1" ht="12.75" customHeight="1">
      <c r="A72" s="206" t="s">
        <v>394</v>
      </c>
      <c r="B72" s="52"/>
      <c r="C72" s="52"/>
      <c r="D72" s="52"/>
      <c r="E72" s="52"/>
      <c r="F72" s="206"/>
      <c r="G72" s="93"/>
      <c r="H72" s="170" t="s">
        <v>316</v>
      </c>
      <c r="I72" s="180">
        <f>ROUNDUP(IF(I71&lt;=0,0,I71),0-1)</f>
        <v>7390</v>
      </c>
      <c r="K72" s="24"/>
      <c r="L72" s="24"/>
      <c r="M72" s="24"/>
      <c r="N72" s="24"/>
      <c r="O72" s="24"/>
      <c r="Z72"/>
    </row>
    <row r="73" spans="1:26" s="7" customFormat="1" ht="12.75" customHeight="1">
      <c r="A73" s="208" t="s">
        <v>395</v>
      </c>
      <c r="B73" s="208"/>
      <c r="C73" s="208"/>
      <c r="D73" s="208"/>
      <c r="E73" s="208"/>
      <c r="F73" s="208"/>
      <c r="G73" s="209"/>
      <c r="H73" s="210" t="s">
        <v>316</v>
      </c>
      <c r="I73" s="212">
        <f>ROUNDUP(IF(I72&lt;=0,0,I72),0-0)</f>
        <v>7390</v>
      </c>
      <c r="K73" s="24"/>
      <c r="L73" s="24">
        <f>IF(I58&gt;5000000,(I58)*10/100,0)</f>
        <v>0</v>
      </c>
      <c r="M73" s="24"/>
      <c r="N73" s="24"/>
      <c r="O73" s="24"/>
      <c r="Z73"/>
    </row>
    <row r="74" spans="1:26" s="7" customFormat="1" ht="12.75" customHeight="1">
      <c r="A74" s="52" t="s">
        <v>396</v>
      </c>
      <c r="B74" s="52"/>
      <c r="C74" s="52"/>
      <c r="D74" s="52"/>
      <c r="E74" s="52"/>
      <c r="F74" s="52"/>
      <c r="G74" s="52"/>
      <c r="H74" s="52"/>
      <c r="I74" s="75"/>
      <c r="K74" s="24"/>
      <c r="L74" s="24"/>
      <c r="M74" s="24"/>
      <c r="N74" s="24"/>
      <c r="O74" s="24"/>
      <c r="Z74"/>
    </row>
    <row r="75" spans="1:26" s="7" customFormat="1">
      <c r="A75" s="75" t="s">
        <v>397</v>
      </c>
      <c r="B75" s="75"/>
      <c r="C75" s="52"/>
      <c r="D75" s="52"/>
      <c r="E75" s="52"/>
      <c r="F75" s="1133" t="s">
        <v>397</v>
      </c>
      <c r="G75" s="1133"/>
      <c r="H75" s="75"/>
      <c r="I75" s="75"/>
      <c r="J75" s="51"/>
      <c r="K75" s="24"/>
      <c r="L75" s="24"/>
      <c r="M75" s="24"/>
      <c r="N75" s="24"/>
      <c r="O75" s="24"/>
    </row>
    <row r="76" spans="1:26" s="7" customFormat="1">
      <c r="A76" s="75" t="str">
        <f>L7</f>
        <v>Principal</v>
      </c>
      <c r="B76" s="75"/>
      <c r="C76" s="52"/>
      <c r="D76" s="52"/>
      <c r="E76" s="52"/>
      <c r="F76" s="1133" t="s">
        <v>398</v>
      </c>
      <c r="G76" s="1133"/>
      <c r="H76" s="52" t="str">
        <f>'Personal Information'!$C$3</f>
        <v>VIKAS</v>
      </c>
      <c r="I76" s="52"/>
      <c r="K76" s="24"/>
      <c r="L76" s="24"/>
      <c r="M76" s="24"/>
      <c r="N76" s="24"/>
      <c r="O76" s="24"/>
    </row>
    <row r="77" spans="1:26" s="7" customFormat="1" ht="14.25" customHeight="1">
      <c r="A77" s="75"/>
      <c r="B77" s="75"/>
      <c r="C77" s="75"/>
      <c r="D77" s="75"/>
      <c r="E77" s="75"/>
      <c r="F77" s="1133" t="s">
        <v>311</v>
      </c>
      <c r="G77" s="1133"/>
      <c r="H77" s="52">
        <f>'Personal Information'!$C$6</f>
        <v>0</v>
      </c>
      <c r="I77" s="52"/>
      <c r="J77" s="130"/>
      <c r="K77" s="24"/>
      <c r="L77" s="24"/>
      <c r="M77" s="24"/>
      <c r="N77" s="24"/>
      <c r="O77" s="24"/>
    </row>
    <row r="78" spans="1:26" s="7" customFormat="1" ht="12.75" customHeight="1">
      <c r="A78" s="75"/>
      <c r="B78" s="75"/>
      <c r="C78" s="75"/>
      <c r="D78" s="75"/>
      <c r="E78" s="1133" t="s">
        <v>309</v>
      </c>
      <c r="F78" s="1133"/>
      <c r="G78" s="1133"/>
      <c r="H78" s="180" t="str">
        <f>'Salary Details'!$O32</f>
        <v>0 0 TEHRI</v>
      </c>
      <c r="I78" s="52"/>
      <c r="J78" s="130"/>
      <c r="K78" s="24"/>
      <c r="L78" s="24"/>
      <c r="M78" s="24">
        <f>I58*10/100</f>
        <v>57877.8</v>
      </c>
      <c r="N78" s="24"/>
      <c r="O78" s="24"/>
    </row>
    <row r="79" spans="1:26" s="7" customFormat="1" ht="9.75" customHeight="1">
      <c r="K79" s="24"/>
      <c r="L79" s="24"/>
      <c r="M79" s="24"/>
      <c r="N79" s="24"/>
      <c r="O79" s="24"/>
    </row>
    <row r="80" spans="1:26" s="7" customFormat="1"/>
    <row r="81" spans="1:25" s="7" customFormat="1"/>
    <row r="82" spans="1:25" s="7" customFormat="1"/>
    <row r="83" spans="1:25" s="7" customFormat="1" ht="15">
      <c r="A83" s="124"/>
      <c r="E83" s="211"/>
      <c r="F83" s="211"/>
    </row>
    <row r="84" spans="1:25" s="7" customFormat="1">
      <c r="S84"/>
      <c r="T84"/>
      <c r="U84"/>
      <c r="V84"/>
      <c r="W84"/>
      <c r="X84"/>
      <c r="Y84"/>
    </row>
    <row r="85" spans="1:25" s="7" customFormat="1">
      <c r="S85"/>
      <c r="T85"/>
      <c r="U85"/>
      <c r="V85"/>
      <c r="W85"/>
      <c r="X85"/>
      <c r="Y85"/>
    </row>
    <row r="86" spans="1:25" s="7" customFormat="1">
      <c r="A86"/>
      <c r="B86"/>
      <c r="C86"/>
      <c r="D86"/>
      <c r="E86"/>
      <c r="F86"/>
      <c r="G86"/>
      <c r="H86"/>
      <c r="I86"/>
      <c r="S86"/>
      <c r="T86"/>
      <c r="U86"/>
      <c r="V86"/>
      <c r="W86"/>
      <c r="X86"/>
      <c r="Y86"/>
    </row>
  </sheetData>
  <sheetProtection algorithmName="SHA-512" hashValue="T0hKRMjkaMu9V/s2A3phIJJ+NQzS8Sy7o9jPeww1ir2X0X56UROiHz6xZKrHdtaJIple501J/EP9KtVJNd+Orw==" saltValue="YG9cjyFQqjW8qUGidSS+sw==" spinCount="100000" sheet="1" objects="1" scenarios="1"/>
  <protectedRanges>
    <protectedRange sqref="I20" name="Range8"/>
    <protectedRange sqref="I27:I29" name="Range6"/>
    <protectedRange sqref="I48:I56" name="Range4"/>
    <protectedRange sqref="L43:L44 I35:I44" name="Range3"/>
  </protectedRanges>
  <mergeCells count="31">
    <mergeCell ref="A29:F29"/>
    <mergeCell ref="D35:E35"/>
    <mergeCell ref="D36:E36"/>
    <mergeCell ref="D37:E37"/>
    <mergeCell ref="F2:I2"/>
    <mergeCell ref="D3:F3"/>
    <mergeCell ref="I3:J3"/>
    <mergeCell ref="D4:E4"/>
    <mergeCell ref="A18:F18"/>
    <mergeCell ref="E78:G78"/>
    <mergeCell ref="A53:F53"/>
    <mergeCell ref="A54:F54"/>
    <mergeCell ref="A55:F55"/>
    <mergeCell ref="B56:F56"/>
    <mergeCell ref="A60:G60"/>
    <mergeCell ref="S3:U4"/>
    <mergeCell ref="A64:F64"/>
    <mergeCell ref="F75:G75"/>
    <mergeCell ref="F76:G76"/>
    <mergeCell ref="F77:G77"/>
    <mergeCell ref="A48:F48"/>
    <mergeCell ref="A49:F49"/>
    <mergeCell ref="A50:F50"/>
    <mergeCell ref="A51:F51"/>
    <mergeCell ref="A52:G52"/>
    <mergeCell ref="D38:E38"/>
    <mergeCell ref="D39:E39"/>
    <mergeCell ref="D40:E40"/>
    <mergeCell ref="D41:E41"/>
    <mergeCell ref="D42:F42"/>
    <mergeCell ref="A28:F28"/>
  </mergeCells>
  <hyperlinks>
    <hyperlink ref="S3:U4" location="'Personal Information'!A1" display="Back to Home Page" xr:uid="{00000000-0004-0000-0500-000000000000}"/>
  </hyperlinks>
  <pageMargins left="0.511811023622047" right="0" top="0.511811023622047" bottom="0" header="0.511811023622047" footer="0.511811023622047"/>
  <pageSetup paperSize="9" scale="85" orientation="portrait" blackAndWhite="1" horizontalDpi="180" verticalDpi="180" r:id="rId1"/>
  <headerFooter alignWithMargins="0">
    <oddHeader>&amp;R&amp;"Arial,Bold"VIKAS DABRAL.www.emou.co.in&amp;"Arial,Regular"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rgb="FF00B050"/>
  </sheetPr>
  <dimension ref="A1:CI164"/>
  <sheetViews>
    <sheetView showGridLines="0" view="pageBreakPreview" topLeftCell="B1" zoomScale="133" zoomScaleNormal="100" workbookViewId="0">
      <selection activeCell="B1" sqref="B1:AK142"/>
    </sheetView>
  </sheetViews>
  <sheetFormatPr defaultColWidth="9" defaultRowHeight="12.75"/>
  <cols>
    <col min="1" max="1" width="1.140625" customWidth="1"/>
    <col min="2" max="2" width="4" customWidth="1"/>
    <col min="3" max="3" width="2.7109375" customWidth="1"/>
    <col min="4" max="4" width="9.85546875" customWidth="1"/>
    <col min="5" max="5" width="3.5703125" customWidth="1"/>
    <col min="6" max="8" width="2.85546875" customWidth="1"/>
    <col min="9" max="9" width="3" customWidth="1"/>
    <col min="10" max="10" width="2.28515625" customWidth="1"/>
    <col min="11" max="12" width="3" customWidth="1"/>
    <col min="13" max="13" width="2.5703125" customWidth="1"/>
    <col min="14" max="16" width="2.85546875" customWidth="1"/>
    <col min="17" max="17" width="3" customWidth="1"/>
    <col min="18" max="18" width="2.85546875" customWidth="1"/>
    <col min="19" max="19" width="3" customWidth="1"/>
    <col min="20" max="20" width="2.28515625" customWidth="1"/>
    <col min="21" max="21" width="2.5703125" customWidth="1"/>
    <col min="22" max="22" width="3.140625" customWidth="1"/>
    <col min="23" max="25" width="2.85546875" customWidth="1"/>
    <col min="26" max="26" width="2.140625" customWidth="1"/>
    <col min="27" max="27" width="2.7109375" customWidth="1"/>
    <col min="28" max="29" width="2.5703125" customWidth="1"/>
    <col min="30" max="30" width="2.85546875" customWidth="1"/>
    <col min="31" max="31" width="5.140625" customWidth="1"/>
    <col min="32" max="34" width="2.85546875" customWidth="1"/>
    <col min="35" max="35" width="2.42578125" customWidth="1"/>
    <col min="36" max="36" width="1.85546875" customWidth="1"/>
    <col min="37" max="37" width="2.28515625" customWidth="1"/>
    <col min="38" max="38" width="1.85546875" customWidth="1"/>
    <col min="39" max="39" width="9.140625" hidden="1" customWidth="1"/>
    <col min="40" max="40" width="6.140625" hidden="1" customWidth="1"/>
    <col min="41" max="41" width="9.140625" hidden="1" customWidth="1"/>
    <col min="42" max="42" width="8.7109375" hidden="1" customWidth="1"/>
    <col min="43" max="43" width="10" hidden="1" customWidth="1"/>
    <col min="44" max="44" width="8.28515625" hidden="1" customWidth="1"/>
    <col min="45" max="45" width="6" hidden="1" customWidth="1"/>
    <col min="46" max="46" width="6.7109375" hidden="1" customWidth="1"/>
    <col min="47" max="47" width="3.28515625" hidden="1" customWidth="1"/>
    <col min="48" max="48" width="3.5703125" hidden="1" customWidth="1"/>
    <col min="49" max="49" width="3.7109375" hidden="1" customWidth="1"/>
    <col min="50" max="50" width="3.5703125" hidden="1" customWidth="1"/>
    <col min="51" max="51" width="3.42578125" hidden="1" customWidth="1"/>
    <col min="52" max="52" width="4.28515625" hidden="1" customWidth="1"/>
    <col min="53" max="53" width="4" hidden="1" customWidth="1"/>
    <col min="54" max="54" width="3.42578125" hidden="1" customWidth="1"/>
    <col min="55" max="55" width="6.85546875" hidden="1" customWidth="1"/>
    <col min="56" max="56" width="3.7109375" hidden="1" customWidth="1"/>
    <col min="57" max="57" width="2.7109375" hidden="1" customWidth="1"/>
    <col min="58" max="58" width="3.140625" hidden="1" customWidth="1"/>
    <col min="59" max="59" width="3" hidden="1" customWidth="1"/>
    <col min="60" max="60" width="3.28515625" hidden="1" customWidth="1"/>
    <col min="61" max="61" width="3" hidden="1" customWidth="1"/>
    <col min="62" max="62" width="3.42578125" hidden="1" customWidth="1"/>
    <col min="63" max="63" width="3.85546875" hidden="1" customWidth="1"/>
    <col min="64" max="64" width="3.28515625" hidden="1" customWidth="1"/>
    <col min="65" max="65" width="4.140625" hidden="1" customWidth="1"/>
    <col min="66" max="66" width="3.85546875" hidden="1" customWidth="1"/>
    <col min="67" max="67" width="10.7109375" hidden="1" customWidth="1"/>
    <col min="68" max="68" width="3.7109375" hidden="1" customWidth="1"/>
    <col min="69" max="69" width="3.42578125" hidden="1" customWidth="1"/>
    <col min="70" max="70" width="3.5703125" hidden="1" customWidth="1"/>
    <col min="71" max="71" width="3.140625" hidden="1" customWidth="1"/>
    <col min="72" max="72" width="4.28515625" hidden="1" customWidth="1"/>
    <col min="73" max="84" width="9.140625" hidden="1" customWidth="1"/>
    <col min="85" max="85" width="8.5703125" customWidth="1"/>
    <col min="86" max="90" width="9.140625" customWidth="1"/>
    <col min="104" max="104" width="9.28515625" customWidth="1"/>
  </cols>
  <sheetData>
    <row r="1" spans="2:87" ht="15.75" customHeight="1">
      <c r="Q1" s="64" t="s">
        <v>399</v>
      </c>
      <c r="R1" s="64"/>
      <c r="S1" s="64"/>
      <c r="CG1" s="1147" t="s">
        <v>181</v>
      </c>
      <c r="CH1" s="1147"/>
      <c r="CI1" s="1147"/>
    </row>
    <row r="2" spans="2:87" ht="12" customHeight="1">
      <c r="B2" s="7"/>
      <c r="C2" s="8" t="s">
        <v>400</v>
      </c>
      <c r="D2" s="9"/>
      <c r="E2" s="9"/>
      <c r="F2" s="9"/>
      <c r="G2" s="10"/>
      <c r="H2" s="11"/>
      <c r="I2" s="7"/>
      <c r="J2" s="52" t="s">
        <v>401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75"/>
      <c r="AJ2" s="75"/>
      <c r="AK2" s="7"/>
      <c r="AL2" s="7"/>
      <c r="CG2" s="1147"/>
      <c r="CH2" s="1147"/>
      <c r="CI2" s="1147"/>
    </row>
    <row r="3" spans="2:87" ht="10.5" customHeight="1">
      <c r="B3" s="7"/>
      <c r="C3" s="12" t="s">
        <v>402</v>
      </c>
      <c r="D3" s="13"/>
      <c r="E3" s="13"/>
      <c r="F3" s="13"/>
      <c r="G3" s="13"/>
      <c r="H3" s="14"/>
      <c r="I3" s="7"/>
      <c r="J3" s="52" t="s">
        <v>403</v>
      </c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75"/>
      <c r="AF3" s="75"/>
      <c r="AG3" s="75"/>
      <c r="AH3" s="75"/>
      <c r="AI3" s="75"/>
      <c r="AJ3" s="75"/>
      <c r="AK3" s="7"/>
      <c r="AL3" s="7"/>
    </row>
    <row r="4" spans="2:87" ht="0.75" hidden="1" customHeight="1">
      <c r="B4" s="7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7"/>
      <c r="AL4" s="7"/>
    </row>
    <row r="5" spans="2:87" ht="12" customHeight="1">
      <c r="B5" s="16"/>
      <c r="C5" s="17"/>
      <c r="D5" s="18" t="s">
        <v>404</v>
      </c>
      <c r="E5" s="18"/>
      <c r="F5" s="18"/>
      <c r="G5" s="18"/>
      <c r="H5" s="18"/>
      <c r="I5" s="18"/>
      <c r="J5" s="18"/>
      <c r="K5" s="18"/>
      <c r="L5" s="18"/>
      <c r="M5" s="18"/>
      <c r="N5" s="53"/>
      <c r="O5" s="35" t="s">
        <v>405</v>
      </c>
      <c r="P5" s="31"/>
      <c r="Q5" s="31"/>
      <c r="R5" s="46"/>
      <c r="S5" s="46"/>
      <c r="T5" s="31"/>
      <c r="U5" s="31"/>
      <c r="V5" s="31"/>
      <c r="W5" s="31"/>
      <c r="X5" s="36"/>
      <c r="Y5" s="35" t="s">
        <v>406</v>
      </c>
      <c r="Z5" s="31"/>
      <c r="AA5" s="31"/>
      <c r="AB5" s="31"/>
      <c r="AC5" s="31"/>
      <c r="AD5" s="31"/>
      <c r="AE5" s="31"/>
      <c r="AF5" s="46"/>
      <c r="AG5" s="46"/>
      <c r="AH5" s="46"/>
      <c r="AI5" s="46"/>
      <c r="AJ5" s="59"/>
      <c r="AK5" s="7"/>
      <c r="AL5" s="7"/>
      <c r="CB5" s="104"/>
      <c r="CC5" s="7"/>
      <c r="CD5" s="7"/>
      <c r="CE5" s="7"/>
      <c r="CF5" s="7"/>
      <c r="CG5" s="7"/>
      <c r="CH5" s="7"/>
    </row>
    <row r="6" spans="2:87" ht="9.75" customHeight="1">
      <c r="B6" s="16"/>
      <c r="C6" s="19"/>
      <c r="D6" s="1218" t="str">
        <f>'Personal Information'!$T$31</f>
        <v>Director</v>
      </c>
      <c r="E6" s="1218"/>
      <c r="F6" s="1218"/>
      <c r="G6" s="1218"/>
      <c r="H6" s="1218"/>
      <c r="I6" s="1218"/>
      <c r="J6" s="1218"/>
      <c r="K6" s="1218"/>
      <c r="L6" s="1218"/>
      <c r="M6" s="1218"/>
      <c r="N6" s="54"/>
      <c r="O6" s="55">
        <f>'Personal Information'!$C$34</f>
        <v>0</v>
      </c>
      <c r="P6" s="55">
        <f>'Personal Information'!$D$34</f>
        <v>0</v>
      </c>
      <c r="Q6" s="55">
        <f>'Personal Information'!$E$34</f>
        <v>0</v>
      </c>
      <c r="R6" s="65">
        <f>'Personal Information'!$F$34</f>
        <v>0</v>
      </c>
      <c r="S6" s="55">
        <f>'Personal Information'!$G$34</f>
        <v>0</v>
      </c>
      <c r="T6" s="55">
        <f>'Personal Information'!$H$34</f>
        <v>0</v>
      </c>
      <c r="U6" s="55">
        <f>'Personal Information'!$I$34</f>
        <v>0</v>
      </c>
      <c r="V6" s="55">
        <f>'Personal Information'!$J$34</f>
        <v>0</v>
      </c>
      <c r="W6" s="55">
        <f>'Personal Information'!$K$34</f>
        <v>0</v>
      </c>
      <c r="X6" s="65">
        <f>'Personal Information'!$L$34</f>
        <v>0</v>
      </c>
      <c r="Y6" s="1219" t="str">
        <f>'Personal Information'!$C$3</f>
        <v>VIKAS</v>
      </c>
      <c r="Z6" s="1139"/>
      <c r="AA6" s="1139"/>
      <c r="AB6" s="1139"/>
      <c r="AC6" s="1139"/>
      <c r="AD6" s="1139"/>
      <c r="AE6" s="1139"/>
      <c r="AF6" s="1139"/>
      <c r="AG6" s="1139"/>
      <c r="AH6" s="1139"/>
      <c r="AI6" s="1139"/>
      <c r="AJ6" s="48"/>
      <c r="AK6" s="7"/>
      <c r="AL6" s="7"/>
    </row>
    <row r="7" spans="2:87" ht="10.5" customHeight="1">
      <c r="B7" s="16"/>
      <c r="C7" s="20"/>
      <c r="D7" s="1220" t="str">
        <f>'Personal Information'!$T$32</f>
        <v>Department of Education</v>
      </c>
      <c r="E7" s="1220"/>
      <c r="F7" s="1220"/>
      <c r="G7" s="1220"/>
      <c r="H7" s="1220"/>
      <c r="I7" s="1220"/>
      <c r="J7" s="1220"/>
      <c r="K7" s="1220"/>
      <c r="L7" s="1220"/>
      <c r="M7" s="1220"/>
      <c r="N7" s="1221"/>
      <c r="O7" s="56"/>
      <c r="P7" s="46"/>
      <c r="Q7" s="46"/>
      <c r="R7" s="46"/>
      <c r="S7" s="46"/>
      <c r="T7" s="46"/>
      <c r="U7" s="46"/>
      <c r="V7" s="46"/>
      <c r="W7" s="46"/>
      <c r="X7" s="59"/>
      <c r="Y7" s="1222">
        <f>'Personal Information'!$C$6</f>
        <v>0</v>
      </c>
      <c r="Z7" s="1223"/>
      <c r="AA7" s="1223"/>
      <c r="AB7" s="1223"/>
      <c r="AC7" s="1223"/>
      <c r="AD7" s="1223"/>
      <c r="AE7" s="1223"/>
      <c r="AF7" s="1223"/>
      <c r="AG7" s="1223"/>
      <c r="AH7" s="1223"/>
      <c r="AI7" s="1223"/>
      <c r="AJ7" s="58"/>
      <c r="AK7" s="7"/>
      <c r="AL7" s="7"/>
    </row>
    <row r="8" spans="2:87" ht="10.5" customHeight="1">
      <c r="B8" s="16"/>
      <c r="C8" s="20"/>
      <c r="D8" s="21" t="str">
        <f>'Personal Information'!$T$33</f>
        <v>Uttarakhand</v>
      </c>
      <c r="E8" s="21"/>
      <c r="F8" s="21"/>
      <c r="G8" s="21"/>
      <c r="H8" s="21"/>
      <c r="I8" s="21"/>
      <c r="J8" s="21"/>
      <c r="K8" s="21"/>
      <c r="L8" s="21"/>
      <c r="M8" s="21"/>
      <c r="N8" s="57"/>
      <c r="O8" s="22" t="s">
        <v>407</v>
      </c>
      <c r="P8" s="23"/>
      <c r="Q8" s="23"/>
      <c r="R8" s="23"/>
      <c r="S8" s="23"/>
      <c r="T8" s="23"/>
      <c r="U8" s="23"/>
      <c r="V8" s="23"/>
      <c r="W8" s="23"/>
      <c r="X8" s="58"/>
      <c r="Y8" s="23" t="s">
        <v>408</v>
      </c>
      <c r="Z8" s="23"/>
      <c r="AA8" s="23"/>
      <c r="AB8" s="23"/>
      <c r="AC8" s="23"/>
      <c r="AD8" s="23"/>
      <c r="AE8" s="23"/>
      <c r="AF8" s="23"/>
      <c r="AG8" s="23"/>
      <c r="AH8" s="23"/>
      <c r="AI8" s="24"/>
      <c r="AJ8" s="48"/>
      <c r="AK8" s="7"/>
      <c r="AL8" s="7"/>
      <c r="AM8" s="90"/>
    </row>
    <row r="9" spans="2:87" ht="9.75" customHeight="1">
      <c r="B9" s="16"/>
      <c r="C9" s="22"/>
      <c r="D9" s="23"/>
      <c r="E9" s="23"/>
      <c r="F9" s="23"/>
      <c r="G9" s="23"/>
      <c r="H9" s="23"/>
      <c r="I9" s="23"/>
      <c r="J9" s="23"/>
      <c r="K9" s="23"/>
      <c r="L9" s="23"/>
      <c r="M9" s="23"/>
      <c r="N9" s="58"/>
      <c r="O9" s="55">
        <f>'Personal Information'!$C$24</f>
        <v>0</v>
      </c>
      <c r="P9" s="55">
        <f>'Personal Information'!$D$24</f>
        <v>0</v>
      </c>
      <c r="Q9" s="55">
        <f>'Personal Information'!$E$24</f>
        <v>0</v>
      </c>
      <c r="R9" s="55">
        <f>'Personal Information'!$F$24</f>
        <v>0</v>
      </c>
      <c r="S9" s="55">
        <f>'Personal Information'!$G$24</f>
        <v>0</v>
      </c>
      <c r="T9" s="55">
        <f>'Personal Information'!$H$24</f>
        <v>0</v>
      </c>
      <c r="U9" s="55">
        <f>'Personal Information'!$I$24</f>
        <v>0</v>
      </c>
      <c r="V9" s="55">
        <f>'Personal Information'!$J$24</f>
        <v>0</v>
      </c>
      <c r="W9" s="55">
        <f>'Personal Information'!$K$24</f>
        <v>0</v>
      </c>
      <c r="X9" s="65">
        <f>'Personal Information'!$L$24</f>
        <v>0</v>
      </c>
      <c r="Y9" s="76">
        <f>'Personal Information'!$C$8</f>
        <v>0</v>
      </c>
      <c r="Z9" s="76">
        <f>'Personal Information'!$D$8</f>
        <v>0</v>
      </c>
      <c r="AA9" s="76">
        <f>'Personal Information'!$E$8</f>
        <v>0</v>
      </c>
      <c r="AB9" s="76">
        <f>'Personal Information'!$F$8</f>
        <v>0</v>
      </c>
      <c r="AC9" s="76">
        <f>'Personal Information'!$G$8</f>
        <v>0</v>
      </c>
      <c r="AD9" s="76">
        <f>'Personal Information'!$H$8</f>
        <v>0</v>
      </c>
      <c r="AE9" s="76">
        <f>'Personal Information'!$I$8</f>
        <v>0</v>
      </c>
      <c r="AF9" s="76">
        <f>'Personal Information'!$J$8</f>
        <v>0</v>
      </c>
      <c r="AG9" s="76">
        <f>'Personal Information'!$K$8</f>
        <v>0</v>
      </c>
      <c r="AH9" s="91">
        <f>'Personal Information'!$L$8</f>
        <v>0</v>
      </c>
      <c r="AI9" s="22"/>
      <c r="AJ9" s="58"/>
      <c r="AK9" s="7"/>
      <c r="AL9" s="7"/>
    </row>
    <row r="10" spans="2:87" ht="10.5" customHeight="1">
      <c r="B10" s="16"/>
      <c r="C10" s="24"/>
      <c r="D10" s="24"/>
      <c r="E10" s="24"/>
      <c r="F10" s="24"/>
      <c r="G10" s="24"/>
      <c r="H10" s="24" t="s">
        <v>409</v>
      </c>
      <c r="I10" s="24"/>
      <c r="J10" s="24"/>
      <c r="K10" s="24"/>
      <c r="L10" s="24"/>
      <c r="M10" s="24"/>
      <c r="N10" s="24"/>
      <c r="O10" s="24"/>
      <c r="P10" s="24"/>
      <c r="Q10" s="53"/>
      <c r="R10" s="56"/>
      <c r="S10" s="46" t="s">
        <v>410</v>
      </c>
      <c r="T10" s="46"/>
      <c r="U10" s="46"/>
      <c r="V10" s="46"/>
      <c r="W10" s="46"/>
      <c r="X10" s="46"/>
      <c r="Y10" s="46"/>
      <c r="Z10" s="59"/>
      <c r="AA10" s="46"/>
      <c r="AB10" s="46"/>
      <c r="AC10" s="46" t="s">
        <v>411</v>
      </c>
      <c r="AD10" s="46"/>
      <c r="AE10" s="46"/>
      <c r="AF10" s="46"/>
      <c r="AG10" s="46"/>
      <c r="AH10" s="46"/>
      <c r="AI10" s="23"/>
      <c r="AJ10" s="58"/>
      <c r="AK10" s="7"/>
      <c r="AL10" s="7"/>
    </row>
    <row r="11" spans="2:87" ht="10.5" customHeight="1">
      <c r="B11" s="16"/>
      <c r="C11" s="24" t="s">
        <v>144</v>
      </c>
      <c r="D11" s="24"/>
      <c r="E11" s="24"/>
      <c r="F11" s="1218" t="s">
        <v>412</v>
      </c>
      <c r="G11" s="1218"/>
      <c r="H11" s="1218"/>
      <c r="I11" s="1218"/>
      <c r="J11" s="1218"/>
      <c r="K11" s="1218"/>
      <c r="L11" s="1218"/>
      <c r="M11" s="1218"/>
      <c r="N11" s="1218"/>
      <c r="O11" s="1218"/>
      <c r="P11" s="1218"/>
      <c r="Q11" s="1224"/>
      <c r="R11" s="1155">
        <f>'Personal Information'!$C$25</f>
        <v>2</v>
      </c>
      <c r="S11" s="1157">
        <f>'Personal Information'!$D$25</f>
        <v>0</v>
      </c>
      <c r="T11" s="1157">
        <f>'Personal Information'!$E$25</f>
        <v>2</v>
      </c>
      <c r="U11" s="1157">
        <v>4</v>
      </c>
      <c r="V11" s="1157" t="s">
        <v>413</v>
      </c>
      <c r="W11" s="1157">
        <f>'Personal Information'!$G$25</f>
        <v>2</v>
      </c>
      <c r="X11" s="1157">
        <f>'Personal Information'!$H$25</f>
        <v>0</v>
      </c>
      <c r="Y11" s="1157">
        <f>'Personal Information'!$I$25</f>
        <v>2</v>
      </c>
      <c r="Z11" s="1228">
        <f>'Personal Information'!$J$25</f>
        <v>6</v>
      </c>
      <c r="AA11" s="23"/>
      <c r="AB11" s="23" t="s">
        <v>414</v>
      </c>
      <c r="AC11" s="23"/>
      <c r="AD11" s="46"/>
      <c r="AE11" s="59"/>
      <c r="AF11" s="23"/>
      <c r="AG11" s="23" t="s">
        <v>415</v>
      </c>
      <c r="AH11" s="23"/>
      <c r="AI11" s="23"/>
      <c r="AJ11" s="58"/>
      <c r="AK11" s="7"/>
      <c r="AL11" s="7"/>
    </row>
    <row r="12" spans="2:87" ht="12.75" customHeight="1">
      <c r="B12" s="16"/>
      <c r="C12" s="25"/>
      <c r="D12" s="26"/>
      <c r="E12" s="26"/>
      <c r="F12" s="1225" t="s">
        <v>416</v>
      </c>
      <c r="G12" s="1225"/>
      <c r="H12" s="1225"/>
      <c r="I12" s="1225"/>
      <c r="J12" s="1225"/>
      <c r="K12" s="1225"/>
      <c r="L12" s="1225"/>
      <c r="M12" s="1225"/>
      <c r="N12" s="1225"/>
      <c r="O12" s="1225"/>
      <c r="P12" s="1225"/>
      <c r="Q12" s="1226"/>
      <c r="R12" s="1156"/>
      <c r="S12" s="1158"/>
      <c r="T12" s="1158"/>
      <c r="U12" s="1158"/>
      <c r="V12" s="1158"/>
      <c r="W12" s="1158"/>
      <c r="X12" s="1158"/>
      <c r="Y12" s="1158"/>
      <c r="Z12" s="1229"/>
      <c r="AA12" s="1148" t="str">
        <f>'Personal Information'!$C$28</f>
        <v>01 - 04 - 2024</v>
      </c>
      <c r="AB12" s="1149"/>
      <c r="AC12" s="1149"/>
      <c r="AD12" s="1149"/>
      <c r="AE12" s="1150"/>
      <c r="AF12" s="1148" t="str">
        <f>'Personal Information'!$H$28</f>
        <v>31 - 03 - 2025</v>
      </c>
      <c r="AG12" s="1149"/>
      <c r="AH12" s="1149"/>
      <c r="AI12" s="1149"/>
      <c r="AJ12" s="1150"/>
      <c r="AK12" s="7"/>
      <c r="AL12" s="7"/>
    </row>
    <row r="13" spans="2:87" ht="11.45" customHeight="1">
      <c r="B13" s="16"/>
      <c r="C13" s="27" t="s">
        <v>417</v>
      </c>
      <c r="D13" s="28"/>
      <c r="E13" s="1227" t="s">
        <v>418</v>
      </c>
      <c r="F13" s="1227"/>
      <c r="G13" s="1227"/>
      <c r="H13" s="1227"/>
      <c r="I13" s="27" t="s">
        <v>419</v>
      </c>
      <c r="J13" s="27"/>
      <c r="K13" s="27"/>
      <c r="L13" s="28"/>
      <c r="M13" s="28"/>
      <c r="N13" s="28"/>
      <c r="O13" s="28"/>
      <c r="P13" s="28"/>
      <c r="Q13" s="67"/>
      <c r="R13" s="68"/>
      <c r="S13" s="32"/>
      <c r="T13" s="32"/>
      <c r="U13" s="32"/>
      <c r="V13" s="32"/>
      <c r="W13" s="32"/>
      <c r="X13" s="32"/>
      <c r="Y13" s="32"/>
      <c r="Z13" s="72"/>
      <c r="AA13" s="1151"/>
      <c r="AB13" s="1152"/>
      <c r="AC13" s="1152"/>
      <c r="AD13" s="1152"/>
      <c r="AE13" s="1153"/>
      <c r="AF13" s="1151"/>
      <c r="AG13" s="1152"/>
      <c r="AH13" s="1152"/>
      <c r="AI13" s="1152"/>
      <c r="AJ13" s="1153"/>
      <c r="AK13" s="7"/>
      <c r="AL13" s="7"/>
    </row>
    <row r="14" spans="2:87" ht="1.1499999999999999" customHeight="1">
      <c r="B14" s="16"/>
      <c r="C14" s="29"/>
      <c r="D14" s="29"/>
      <c r="E14" s="30"/>
      <c r="F14" s="30"/>
      <c r="G14" s="30"/>
      <c r="H14" s="30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77"/>
      <c r="AB14" s="77"/>
      <c r="AC14" s="77"/>
      <c r="AD14" s="77"/>
      <c r="AE14" s="77"/>
      <c r="AF14" s="77"/>
      <c r="AG14" s="77"/>
      <c r="AH14" s="77"/>
      <c r="AI14" s="77"/>
      <c r="AJ14" s="92"/>
      <c r="AK14" s="7"/>
      <c r="AL14" s="7"/>
    </row>
    <row r="15" spans="2:87" ht="11.25" customHeight="1">
      <c r="B15" s="16"/>
      <c r="C15" s="31"/>
      <c r="D15" s="31"/>
      <c r="E15" s="31"/>
      <c r="F15" s="31"/>
      <c r="G15" s="31"/>
      <c r="H15" s="31"/>
      <c r="I15" s="31"/>
      <c r="J15" s="31"/>
      <c r="K15" s="31" t="s">
        <v>420</v>
      </c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6"/>
      <c r="AK15" s="7"/>
      <c r="AL15" s="7"/>
    </row>
    <row r="16" spans="2:87" ht="11.45" customHeight="1">
      <c r="B16" s="16"/>
      <c r="C16" s="32"/>
      <c r="D16" s="32" t="s">
        <v>153</v>
      </c>
      <c r="E16" s="33"/>
      <c r="F16" s="32" t="s">
        <v>421</v>
      </c>
      <c r="G16" s="32"/>
      <c r="H16" s="32"/>
      <c r="I16" s="32"/>
      <c r="J16" s="32"/>
      <c r="K16" s="32"/>
      <c r="L16" s="32"/>
      <c r="M16" s="32"/>
      <c r="N16" s="32"/>
      <c r="O16" s="32"/>
      <c r="P16" s="33"/>
      <c r="Q16" s="32" t="s">
        <v>422</v>
      </c>
      <c r="R16" s="32"/>
      <c r="S16" s="32"/>
      <c r="T16" s="32"/>
      <c r="U16" s="32"/>
      <c r="V16" s="32"/>
      <c r="W16" s="32"/>
      <c r="X16" s="32"/>
      <c r="Y16" s="32"/>
      <c r="Z16" s="33"/>
      <c r="AA16" s="32" t="s">
        <v>423</v>
      </c>
      <c r="AB16" s="32"/>
      <c r="AC16" s="32"/>
      <c r="AD16" s="32"/>
      <c r="AE16" s="32"/>
      <c r="AF16" s="32"/>
      <c r="AG16" s="32"/>
      <c r="AH16" s="32"/>
      <c r="AI16" s="32"/>
      <c r="AJ16" s="93"/>
      <c r="AK16" s="7"/>
      <c r="AL16" s="7"/>
      <c r="AO16" s="740" t="s">
        <v>231</v>
      </c>
      <c r="AP16" s="97" t="e">
        <f>'Personal Information'!#REF!</f>
        <v>#REF!</v>
      </c>
    </row>
    <row r="17" spans="2:81" ht="10.9" customHeight="1">
      <c r="B17" s="16"/>
      <c r="C17" s="29"/>
      <c r="D17" s="29"/>
      <c r="E17" s="34"/>
      <c r="F17" s="29" t="s">
        <v>424</v>
      </c>
      <c r="G17" s="29"/>
      <c r="H17" s="29"/>
      <c r="I17" s="29"/>
      <c r="J17" s="29"/>
      <c r="K17" s="29"/>
      <c r="L17" s="29"/>
      <c r="M17" s="29"/>
      <c r="N17" s="29"/>
      <c r="O17" s="29"/>
      <c r="P17" s="34"/>
      <c r="Q17" s="29"/>
      <c r="R17" s="29"/>
      <c r="S17" s="29" t="s">
        <v>157</v>
      </c>
      <c r="T17" s="29"/>
      <c r="U17" s="29"/>
      <c r="V17" s="29"/>
      <c r="W17" s="29"/>
      <c r="X17" s="29"/>
      <c r="Y17" s="29"/>
      <c r="Z17" s="34"/>
      <c r="AA17" s="29" t="s">
        <v>158</v>
      </c>
      <c r="AB17" s="29"/>
      <c r="AC17" s="29"/>
      <c r="AD17" s="29"/>
      <c r="AE17" s="29"/>
      <c r="AF17" s="29"/>
      <c r="AG17" s="29"/>
      <c r="AH17" s="29"/>
      <c r="AI17" s="29"/>
      <c r="AJ17" s="38"/>
      <c r="AK17" s="7"/>
      <c r="AL17" s="7"/>
      <c r="AO17" s="740" t="s">
        <v>231</v>
      </c>
      <c r="AP17" s="98" t="e">
        <f>'Personal Information'!#REF!</f>
        <v>#REF!</v>
      </c>
      <c r="BW17" s="105"/>
      <c r="BX17" s="105"/>
      <c r="BY17" s="105"/>
      <c r="BZ17" s="105"/>
      <c r="CA17" s="105"/>
    </row>
    <row r="18" spans="2:81">
      <c r="B18" s="16"/>
      <c r="C18" s="35" t="s">
        <v>425</v>
      </c>
      <c r="D18" s="31"/>
      <c r="E18" s="36"/>
      <c r="F18" s="1211">
        <f>'Personal Information'!F39:M39</f>
        <v>0</v>
      </c>
      <c r="G18" s="1212"/>
      <c r="H18" s="1212"/>
      <c r="I18" s="1212"/>
      <c r="J18" s="1212"/>
      <c r="K18" s="1212"/>
      <c r="L18" s="1212"/>
      <c r="M18" s="1212"/>
      <c r="N18" s="1212"/>
      <c r="O18" s="1212"/>
      <c r="P18" s="1213"/>
      <c r="Q18" s="31"/>
      <c r="R18" s="31"/>
      <c r="S18" s="1214">
        <f>'Personal Information'!AK40</f>
        <v>0</v>
      </c>
      <c r="T18" s="1215"/>
      <c r="U18" s="1215"/>
      <c r="V18" s="1215"/>
      <c r="W18" s="1215"/>
      <c r="X18" s="1215"/>
      <c r="Y18" s="1215"/>
      <c r="Z18" s="78"/>
      <c r="AA18" s="1216">
        <f>'Personal Information'!AL40</f>
        <v>0</v>
      </c>
      <c r="AB18" s="1217"/>
      <c r="AC18" s="1217"/>
      <c r="AD18" s="1217"/>
      <c r="AE18" s="1217"/>
      <c r="AF18" s="1217"/>
      <c r="AG18" s="1217"/>
      <c r="AH18" s="31"/>
      <c r="AI18" s="31"/>
      <c r="AJ18" s="39"/>
      <c r="AK18" s="7"/>
      <c r="AL18" s="7"/>
      <c r="AP18" s="98"/>
      <c r="BV18" s="106"/>
      <c r="BW18" s="107">
        <f>SUM('Salary Details'!$R$8)</f>
        <v>2000</v>
      </c>
      <c r="BX18" s="107">
        <f>SUM('Salary Details'!$R$9)</f>
        <v>2000</v>
      </c>
      <c r="BY18" s="107">
        <f>SUM('Salary Details'!$R$10)</f>
        <v>2000</v>
      </c>
      <c r="BZ18" s="107"/>
      <c r="CA18" s="108">
        <f>SUM(BW18:BY18)</f>
        <v>6000</v>
      </c>
    </row>
    <row r="19" spans="2:81" ht="11.25" customHeight="1">
      <c r="B19" s="16"/>
      <c r="C19" s="35" t="s">
        <v>426</v>
      </c>
      <c r="D19" s="31"/>
      <c r="E19" s="36"/>
      <c r="F19" s="1211">
        <f>'Personal Information'!F40:M40</f>
        <v>0</v>
      </c>
      <c r="G19" s="1212"/>
      <c r="H19" s="1212"/>
      <c r="I19" s="1212"/>
      <c r="J19" s="1212"/>
      <c r="K19" s="1212"/>
      <c r="L19" s="1212"/>
      <c r="M19" s="1212"/>
      <c r="N19" s="1212"/>
      <c r="O19" s="1212"/>
      <c r="P19" s="1213"/>
      <c r="Q19" s="31"/>
      <c r="R19" s="31"/>
      <c r="S19" s="1214">
        <f>'Personal Information'!AK41</f>
        <v>0</v>
      </c>
      <c r="T19" s="1215"/>
      <c r="U19" s="1215"/>
      <c r="V19" s="1215"/>
      <c r="W19" s="1215"/>
      <c r="X19" s="1215"/>
      <c r="Y19" s="1215"/>
      <c r="Z19" s="78"/>
      <c r="AA19" s="1216">
        <f>'Personal Information'!AL41</f>
        <v>0</v>
      </c>
      <c r="AB19" s="1217"/>
      <c r="AC19" s="1217"/>
      <c r="AD19" s="1217"/>
      <c r="AE19" s="1217"/>
      <c r="AF19" s="1217"/>
      <c r="AG19" s="1217"/>
      <c r="AH19" s="31"/>
      <c r="AI19" s="31"/>
      <c r="AJ19" s="39"/>
      <c r="AK19" s="7"/>
      <c r="AL19" s="7"/>
      <c r="AP19" s="98"/>
      <c r="BV19" s="106"/>
      <c r="BW19" s="107">
        <f>SUM('Salary Details'!$R$11)</f>
        <v>2000</v>
      </c>
      <c r="BX19" s="107">
        <f>SUM('Salary Details'!$R$12)</f>
        <v>2000</v>
      </c>
      <c r="BY19" s="107">
        <f>SUM('Salary Details'!$R$13)</f>
        <v>2000</v>
      </c>
      <c r="BZ19" s="107">
        <f>'Salary Details'!R23</f>
        <v>0</v>
      </c>
      <c r="CA19" s="109">
        <f>SUM(BW19:BZ19)</f>
        <v>6000</v>
      </c>
    </row>
    <row r="20" spans="2:81" ht="9.75" customHeight="1">
      <c r="B20" s="16"/>
      <c r="C20" s="37" t="s">
        <v>427</v>
      </c>
      <c r="D20" s="29"/>
      <c r="E20" s="38"/>
      <c r="F20" s="1211">
        <f>'Personal Information'!F41:M41</f>
        <v>0</v>
      </c>
      <c r="G20" s="1212"/>
      <c r="H20" s="1212"/>
      <c r="I20" s="1212"/>
      <c r="J20" s="1212"/>
      <c r="K20" s="1212"/>
      <c r="L20" s="1212"/>
      <c r="M20" s="1212"/>
      <c r="N20" s="1212"/>
      <c r="O20" s="1212"/>
      <c r="P20" s="1213"/>
      <c r="Q20" s="40"/>
      <c r="R20" s="40"/>
      <c r="S20" s="1214">
        <f>'Personal Information'!AK42</f>
        <v>0</v>
      </c>
      <c r="T20" s="1215"/>
      <c r="U20" s="1215"/>
      <c r="V20" s="1215"/>
      <c r="W20" s="1215"/>
      <c r="X20" s="1215"/>
      <c r="Y20" s="1215"/>
      <c r="Z20" s="79"/>
      <c r="AA20" s="1216">
        <f>'Personal Information'!AL42</f>
        <v>0</v>
      </c>
      <c r="AB20" s="1217"/>
      <c r="AC20" s="1217"/>
      <c r="AD20" s="1217"/>
      <c r="AE20" s="1217"/>
      <c r="AF20" s="1217"/>
      <c r="AG20" s="1217"/>
      <c r="AH20" s="41"/>
      <c r="AI20" s="41"/>
      <c r="AJ20" s="38"/>
      <c r="AK20" s="7"/>
      <c r="AL20" s="7"/>
      <c r="AO20" s="740" t="s">
        <v>231</v>
      </c>
      <c r="AP20" s="98" t="e">
        <f>'Personal Information'!#REF!</f>
        <v>#REF!</v>
      </c>
      <c r="BV20" s="106"/>
      <c r="BW20" s="107">
        <f>SUM('Salary Details'!$R$14)</f>
        <v>2000</v>
      </c>
      <c r="BX20" s="107">
        <f>SUM('Salary Details'!$R$15)</f>
        <v>2000</v>
      </c>
      <c r="BY20" s="107">
        <f>SUM('Salary Details'!$R$16)</f>
        <v>2000</v>
      </c>
      <c r="BZ20" s="107"/>
      <c r="CA20" s="109">
        <f>SUM(BW20:BY20)</f>
        <v>6000</v>
      </c>
    </row>
    <row r="21" spans="2:81" ht="10.5" customHeight="1">
      <c r="B21" s="16"/>
      <c r="C21" s="35" t="s">
        <v>428</v>
      </c>
      <c r="D21" s="31"/>
      <c r="E21" s="39"/>
      <c r="F21" s="1211">
        <f>'Personal Information'!F42:M42</f>
        <v>0</v>
      </c>
      <c r="G21" s="1212"/>
      <c r="H21" s="1212"/>
      <c r="I21" s="1212"/>
      <c r="J21" s="1212"/>
      <c r="K21" s="1212"/>
      <c r="L21" s="1212"/>
      <c r="M21" s="1212"/>
      <c r="N21" s="1212"/>
      <c r="O21" s="1212"/>
      <c r="P21" s="1213"/>
      <c r="Q21" s="40"/>
      <c r="R21" s="40"/>
      <c r="S21" s="1214">
        <f>'Personal Information'!AK43</f>
        <v>0</v>
      </c>
      <c r="T21" s="1215"/>
      <c r="U21" s="1215"/>
      <c r="V21" s="1215"/>
      <c r="W21" s="1215"/>
      <c r="X21" s="1215"/>
      <c r="Y21" s="1215"/>
      <c r="Z21" s="79"/>
      <c r="AA21" s="1216">
        <f>'Personal Information'!AL43</f>
        <v>0</v>
      </c>
      <c r="AB21" s="1217"/>
      <c r="AC21" s="1217"/>
      <c r="AD21" s="1217"/>
      <c r="AE21" s="1217"/>
      <c r="AF21" s="1217"/>
      <c r="AG21" s="1217"/>
      <c r="AH21" s="41"/>
      <c r="AI21" s="41"/>
      <c r="AJ21" s="38"/>
      <c r="AK21" s="7"/>
      <c r="AL21" s="7"/>
      <c r="AP21" s="99"/>
      <c r="BV21" s="106"/>
      <c r="BW21" s="110">
        <f>SUM('Salary Details'!$R$17)</f>
        <v>2000</v>
      </c>
      <c r="BX21" s="111">
        <f>SUM('Salary Details'!$R$18)</f>
        <v>2000</v>
      </c>
      <c r="BY21" s="111">
        <f>SUM('Income Tax Ass New.'!$I$66)</f>
        <v>-22000</v>
      </c>
      <c r="BZ21" s="111"/>
      <c r="CA21" s="112">
        <f>SUM(BW21:BY21)</f>
        <v>-18000</v>
      </c>
      <c r="CB21" s="113"/>
      <c r="CC21" s="113"/>
    </row>
    <row r="22" spans="2:81" ht="11.25" customHeight="1">
      <c r="B22" s="16"/>
      <c r="C22" s="35" t="s">
        <v>429</v>
      </c>
      <c r="D22" s="31"/>
      <c r="E22" s="39"/>
      <c r="F22" s="40"/>
      <c r="G22" s="40"/>
      <c r="H22" s="41"/>
      <c r="I22" s="41"/>
      <c r="J22" s="41"/>
      <c r="K22" s="41"/>
      <c r="L22" s="41"/>
      <c r="M22" s="41"/>
      <c r="N22" s="41"/>
      <c r="O22" s="41"/>
      <c r="P22" s="38"/>
      <c r="Q22" s="40"/>
      <c r="R22" s="40"/>
      <c r="S22" s="1160">
        <f>SUM(S18:S21)</f>
        <v>0</v>
      </c>
      <c r="T22" s="1208"/>
      <c r="U22" s="1208"/>
      <c r="V22" s="1208"/>
      <c r="W22" s="1208"/>
      <c r="X22" s="1208"/>
      <c r="Y22" s="1208"/>
      <c r="Z22" s="38"/>
      <c r="AA22" s="1209">
        <f>SUM(AA18:AA21)</f>
        <v>0</v>
      </c>
      <c r="AB22" s="1210"/>
      <c r="AC22" s="1210"/>
      <c r="AD22" s="1210"/>
      <c r="AE22" s="1210"/>
      <c r="AF22" s="1210"/>
      <c r="AG22" s="1210"/>
      <c r="AH22" s="41"/>
      <c r="AI22" s="41"/>
      <c r="AJ22" s="39"/>
      <c r="AK22" s="7"/>
      <c r="AL22" s="7"/>
      <c r="AO22" s="740" t="s">
        <v>231</v>
      </c>
      <c r="AP22" s="100" t="e">
        <f>'Personal Information'!#REF!</f>
        <v>#REF!</v>
      </c>
    </row>
    <row r="23" spans="2:81" ht="10.5" customHeight="1">
      <c r="B23" s="16"/>
      <c r="C23" s="42"/>
      <c r="D23" s="41"/>
      <c r="E23" s="41"/>
      <c r="F23" s="43" t="s">
        <v>430</v>
      </c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69"/>
      <c r="Y23" s="69"/>
      <c r="Z23" s="69"/>
      <c r="AA23" s="69"/>
      <c r="AB23" s="44"/>
      <c r="AC23" s="44"/>
      <c r="AD23" s="44"/>
      <c r="AE23" s="44"/>
      <c r="AF23" s="41"/>
      <c r="AG23" s="41"/>
      <c r="AH23" s="41"/>
      <c r="AI23" s="41"/>
      <c r="AJ23" s="94"/>
      <c r="AK23" s="7"/>
      <c r="AL23" s="7"/>
    </row>
    <row r="24" spans="2:81" ht="9.75" customHeight="1">
      <c r="B24" s="16"/>
      <c r="C24" s="45" t="s">
        <v>431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48"/>
      <c r="V24" s="24"/>
      <c r="W24" s="24"/>
      <c r="X24" s="18"/>
      <c r="Y24" s="18"/>
      <c r="Z24" s="53"/>
      <c r="AA24" s="17"/>
      <c r="AB24" s="24"/>
      <c r="AC24" s="24"/>
      <c r="AD24" s="24"/>
      <c r="AE24" s="48"/>
      <c r="AF24" s="7"/>
      <c r="AG24" s="7"/>
      <c r="AH24" s="7"/>
      <c r="AI24" s="7"/>
      <c r="AJ24" s="16"/>
      <c r="AK24" s="7"/>
      <c r="AL24" s="7"/>
    </row>
    <row r="25" spans="2:81" ht="12.6" customHeight="1">
      <c r="B25" s="16"/>
      <c r="C25" s="24"/>
      <c r="D25" s="24" t="s">
        <v>432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48"/>
      <c r="V25" s="24" t="s">
        <v>316</v>
      </c>
      <c r="W25" s="1191">
        <f>'Income Tax Ass Old'!I18</f>
        <v>787674</v>
      </c>
      <c r="X25" s="1191"/>
      <c r="Y25" s="1191"/>
      <c r="Z25" s="1202"/>
      <c r="AA25" s="80"/>
      <c r="AB25" s="24"/>
      <c r="AC25" s="24"/>
      <c r="AD25" s="24"/>
      <c r="AE25" s="48"/>
      <c r="AF25" s="7"/>
      <c r="AG25" s="7"/>
      <c r="AH25" s="7"/>
      <c r="AI25" s="7"/>
      <c r="AJ25" s="16"/>
      <c r="AK25" s="7"/>
      <c r="AL25" s="7"/>
    </row>
    <row r="26" spans="2:81" ht="12.6" customHeight="1">
      <c r="B26" s="16"/>
      <c r="C26" s="24"/>
      <c r="D26" s="24" t="s">
        <v>433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48"/>
      <c r="V26" s="24"/>
      <c r="W26" s="70"/>
      <c r="X26" s="70"/>
      <c r="Y26" s="70"/>
      <c r="Z26" s="81"/>
      <c r="AA26" s="80"/>
      <c r="AB26" s="24"/>
      <c r="AC26" s="24"/>
      <c r="AD26" s="24"/>
      <c r="AE26" s="48"/>
      <c r="AF26" s="7"/>
      <c r="AG26" s="7"/>
      <c r="AH26" s="7"/>
      <c r="AI26" s="7"/>
      <c r="AJ26" s="16"/>
      <c r="AK26" s="7"/>
      <c r="AL26" s="7"/>
    </row>
    <row r="27" spans="2:81" ht="12" customHeight="1">
      <c r="B27" s="16"/>
      <c r="C27" s="24"/>
      <c r="D27" s="24" t="s">
        <v>434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48"/>
      <c r="V27" s="24" t="s">
        <v>316</v>
      </c>
      <c r="W27" s="1191">
        <v>0</v>
      </c>
      <c r="X27" s="1191"/>
      <c r="Y27" s="1191"/>
      <c r="Z27" s="1202"/>
      <c r="AA27" s="80"/>
      <c r="AB27" s="24"/>
      <c r="AC27" s="24"/>
      <c r="AD27" s="24"/>
      <c r="AE27" s="48"/>
      <c r="AF27" s="7"/>
      <c r="AG27" s="7"/>
      <c r="AH27" s="7"/>
      <c r="AI27" s="7"/>
      <c r="AJ27" s="16"/>
      <c r="AK27" s="7"/>
      <c r="AL27" s="7"/>
    </row>
    <row r="28" spans="2:81" ht="10.5" customHeight="1">
      <c r="B28" s="16"/>
      <c r="C28" s="24"/>
      <c r="D28" s="24" t="s">
        <v>435</v>
      </c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48"/>
      <c r="V28" s="24"/>
      <c r="W28" s="70"/>
      <c r="X28" s="70"/>
      <c r="Y28" s="70"/>
      <c r="Z28" s="81"/>
      <c r="AA28" s="80"/>
      <c r="AB28" s="24"/>
      <c r="AC28" s="24"/>
      <c r="AD28" s="24"/>
      <c r="AE28" s="48"/>
      <c r="AF28" s="7"/>
      <c r="AG28" s="7"/>
      <c r="AH28" s="7"/>
      <c r="AI28" s="7"/>
      <c r="AJ28" s="16"/>
      <c r="AK28" s="7"/>
      <c r="AL28" s="7"/>
    </row>
    <row r="29" spans="2:81" ht="10.5" customHeight="1">
      <c r="B29" s="16"/>
      <c r="C29" s="24"/>
      <c r="D29" s="24" t="s">
        <v>434</v>
      </c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48"/>
      <c r="V29" s="24" t="s">
        <v>316</v>
      </c>
      <c r="W29" s="1191">
        <v>0</v>
      </c>
      <c r="X29" s="1191"/>
      <c r="Y29" s="1191"/>
      <c r="Z29" s="1202"/>
      <c r="AA29" s="80"/>
      <c r="AB29" s="24"/>
      <c r="AC29" s="24"/>
      <c r="AD29" s="24"/>
      <c r="AE29" s="48"/>
      <c r="AF29" s="7"/>
      <c r="AG29" s="7"/>
      <c r="AH29" s="7"/>
      <c r="AI29" s="7"/>
      <c r="AJ29" s="16"/>
      <c r="AK29" s="7"/>
      <c r="AL29" s="7"/>
    </row>
    <row r="30" spans="2:81" ht="11.25" customHeight="1">
      <c r="B30" s="16"/>
      <c r="C30" s="24"/>
      <c r="D30" s="24" t="s">
        <v>436</v>
      </c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48"/>
      <c r="V30" s="24"/>
      <c r="W30" s="24"/>
      <c r="X30" s="24"/>
      <c r="Y30" s="24"/>
      <c r="Z30" s="48"/>
      <c r="AA30" s="24" t="s">
        <v>316</v>
      </c>
      <c r="AB30" s="1191">
        <f>W25</f>
        <v>787674</v>
      </c>
      <c r="AC30" s="1192"/>
      <c r="AD30" s="1192"/>
      <c r="AE30" s="1193"/>
      <c r="AF30" s="7"/>
      <c r="AG30" s="7"/>
      <c r="AH30" s="7"/>
      <c r="AI30" s="7"/>
      <c r="AJ30" s="16"/>
      <c r="AK30" s="7"/>
      <c r="AL30" s="7"/>
    </row>
    <row r="31" spans="2:81" ht="11.25" customHeight="1">
      <c r="B31" s="16"/>
      <c r="C31" s="24" t="s">
        <v>437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58"/>
      <c r="V31" s="24" t="s">
        <v>316</v>
      </c>
      <c r="W31" s="1191">
        <v>0</v>
      </c>
      <c r="X31" s="1191"/>
      <c r="Y31" s="1191"/>
      <c r="Z31" s="1202"/>
      <c r="AA31" s="80"/>
      <c r="AB31" s="24"/>
      <c r="AC31" s="24"/>
      <c r="AD31" s="24"/>
      <c r="AE31" s="48"/>
      <c r="AF31" s="7"/>
      <c r="AG31" s="7"/>
      <c r="AH31" s="7"/>
      <c r="AI31" s="7"/>
      <c r="AJ31" s="16"/>
      <c r="AK31" s="7"/>
      <c r="AL31" s="7"/>
    </row>
    <row r="32" spans="2:81" ht="10.5" customHeight="1">
      <c r="B32" s="16"/>
      <c r="C32" s="24"/>
      <c r="D32" s="46"/>
      <c r="E32" s="46"/>
      <c r="F32" s="46" t="s">
        <v>438</v>
      </c>
      <c r="G32" s="46"/>
      <c r="H32" s="46"/>
      <c r="I32" s="46"/>
      <c r="J32" s="46"/>
      <c r="K32" s="46"/>
      <c r="L32" s="46"/>
      <c r="M32" s="46"/>
      <c r="N32" s="59"/>
      <c r="O32" s="46"/>
      <c r="P32" s="46"/>
      <c r="Q32" s="46" t="s">
        <v>439</v>
      </c>
      <c r="R32" s="46"/>
      <c r="S32" s="46"/>
      <c r="T32" s="46"/>
      <c r="U32" s="59"/>
      <c r="V32" s="24"/>
      <c r="W32" s="32"/>
      <c r="X32" s="32"/>
      <c r="Y32" s="32"/>
      <c r="Z32" s="32"/>
      <c r="AA32" s="80"/>
      <c r="AB32" s="24"/>
      <c r="AC32" s="24"/>
      <c r="AD32" s="24"/>
      <c r="AE32" s="48"/>
      <c r="AF32" s="7"/>
      <c r="AG32" s="7"/>
      <c r="AH32" s="7"/>
      <c r="AI32" s="7"/>
      <c r="AJ32" s="16"/>
      <c r="AK32" s="7"/>
      <c r="AL32" s="7"/>
    </row>
    <row r="33" spans="2:38" ht="10.5" customHeight="1">
      <c r="B33" s="16"/>
      <c r="C33" s="24"/>
      <c r="D33" s="46"/>
      <c r="E33" s="46"/>
      <c r="F33" s="46"/>
      <c r="G33" s="46"/>
      <c r="H33" s="46" t="s">
        <v>240</v>
      </c>
      <c r="I33" s="46"/>
      <c r="J33" s="46"/>
      <c r="K33" s="31"/>
      <c r="L33" s="31"/>
      <c r="M33" s="46"/>
      <c r="N33" s="59"/>
      <c r="O33" s="46"/>
      <c r="P33" s="1154">
        <f>'Income Tax Ass Old'!I20</f>
        <v>0</v>
      </c>
      <c r="Q33" s="1154"/>
      <c r="R33" s="1154"/>
      <c r="S33" s="1154"/>
      <c r="T33" s="1154"/>
      <c r="U33" s="71"/>
      <c r="V33" s="24" t="s">
        <v>316</v>
      </c>
      <c r="W33" s="1191">
        <f>P37</f>
        <v>0</v>
      </c>
      <c r="X33" s="1191"/>
      <c r="Y33" s="1191"/>
      <c r="Z33" s="1202"/>
      <c r="AA33" s="24"/>
      <c r="AB33" s="24"/>
      <c r="AC33" s="24"/>
      <c r="AD33" s="24"/>
      <c r="AE33" s="48"/>
      <c r="AF33" s="7"/>
      <c r="AG33" s="7"/>
      <c r="AH33" s="7"/>
      <c r="AI33" s="7"/>
      <c r="AJ33" s="16"/>
      <c r="AK33" s="7"/>
      <c r="AL33" s="7"/>
    </row>
    <row r="34" spans="2:38" ht="11.25" customHeight="1">
      <c r="B34" s="16"/>
      <c r="C34" s="24"/>
      <c r="D34" s="46"/>
      <c r="E34" s="46"/>
      <c r="F34" s="46"/>
      <c r="G34" s="46"/>
      <c r="H34" s="46" t="s">
        <v>239</v>
      </c>
      <c r="I34" s="46"/>
      <c r="J34" s="23"/>
      <c r="K34" s="32"/>
      <c r="L34" s="32"/>
      <c r="M34" s="46"/>
      <c r="N34" s="59"/>
      <c r="O34" s="46"/>
      <c r="P34" s="1154">
        <f>'Income Tax Ass Old'!I21</f>
        <v>0</v>
      </c>
      <c r="Q34" s="1154"/>
      <c r="R34" s="1154"/>
      <c r="S34" s="1154"/>
      <c r="T34" s="1154"/>
      <c r="U34" s="71"/>
      <c r="V34" s="32"/>
      <c r="W34" s="32"/>
      <c r="X34" s="32"/>
      <c r="Y34" s="32"/>
      <c r="Z34" s="72"/>
      <c r="AA34" s="24"/>
      <c r="AB34" s="24"/>
      <c r="AC34" s="24"/>
      <c r="AD34" s="24"/>
      <c r="AE34" s="48"/>
      <c r="AF34" s="7"/>
      <c r="AG34" s="7"/>
      <c r="AH34" s="7"/>
      <c r="AI34" s="7"/>
      <c r="AJ34" s="16"/>
      <c r="AK34" s="7"/>
      <c r="AL34" s="7"/>
    </row>
    <row r="35" spans="2:38" ht="11.25" customHeight="1">
      <c r="B35" s="16"/>
      <c r="C35" s="24"/>
      <c r="D35" s="46" t="s">
        <v>440</v>
      </c>
      <c r="E35" s="46"/>
      <c r="F35" s="46"/>
      <c r="G35" s="46"/>
      <c r="H35" s="46"/>
      <c r="I35" s="46"/>
      <c r="J35" s="23"/>
      <c r="K35" s="32"/>
      <c r="L35" s="32"/>
      <c r="M35" s="46"/>
      <c r="N35" s="59"/>
      <c r="O35" s="46"/>
      <c r="P35" s="1154">
        <f>'Income Tax Ass Old'!I23</f>
        <v>0</v>
      </c>
      <c r="Q35" s="1154"/>
      <c r="R35" s="1154"/>
      <c r="S35" s="1154"/>
      <c r="T35" s="1154"/>
      <c r="U35" s="71"/>
      <c r="V35" s="32"/>
      <c r="W35" s="32"/>
      <c r="X35" s="32"/>
      <c r="Y35" s="32"/>
      <c r="Z35" s="72"/>
      <c r="AA35" s="24"/>
      <c r="AB35" s="24"/>
      <c r="AC35" s="24"/>
      <c r="AD35" s="24"/>
      <c r="AE35" s="48"/>
      <c r="AF35" s="7"/>
      <c r="AG35" s="7"/>
      <c r="AH35" s="7"/>
      <c r="AI35" s="7"/>
      <c r="AJ35" s="16"/>
      <c r="AK35" s="7"/>
      <c r="AL35" s="7"/>
    </row>
    <row r="36" spans="2:38" ht="11.25" customHeight="1">
      <c r="B36" s="16"/>
      <c r="C36" s="24"/>
      <c r="D36" s="46"/>
      <c r="E36" s="46" t="s">
        <v>97</v>
      </c>
      <c r="F36" s="46"/>
      <c r="G36" s="46"/>
      <c r="H36" s="46"/>
      <c r="I36" s="46"/>
      <c r="J36" s="23"/>
      <c r="K36" s="32"/>
      <c r="L36" s="32"/>
      <c r="M36" s="46"/>
      <c r="N36" s="59"/>
      <c r="O36" s="46"/>
      <c r="P36" s="1154">
        <f>'Income Tax Ass Old'!I22</f>
        <v>0</v>
      </c>
      <c r="Q36" s="1154"/>
      <c r="R36" s="1154"/>
      <c r="S36" s="1154"/>
      <c r="T36" s="1154"/>
      <c r="U36" s="71"/>
      <c r="V36" s="32"/>
      <c r="W36" s="32"/>
      <c r="X36" s="32"/>
      <c r="Y36" s="32"/>
      <c r="Z36" s="72"/>
      <c r="AA36" s="24"/>
      <c r="AB36" s="24"/>
      <c r="AC36" s="24"/>
      <c r="AD36" s="24"/>
      <c r="AE36" s="48"/>
      <c r="AF36" s="7"/>
      <c r="AG36" s="7"/>
      <c r="AH36" s="7"/>
      <c r="AI36" s="7"/>
      <c r="AJ36" s="16"/>
      <c r="AK36" s="7"/>
      <c r="AL36" s="7"/>
    </row>
    <row r="37" spans="2:38" ht="10.5" customHeight="1">
      <c r="B37" s="16"/>
      <c r="C37" s="24"/>
      <c r="D37" s="46" t="s">
        <v>441</v>
      </c>
      <c r="E37" s="46"/>
      <c r="F37" s="46"/>
      <c r="G37" s="46"/>
      <c r="H37" s="46"/>
      <c r="I37" s="46"/>
      <c r="J37" s="46"/>
      <c r="K37" s="46"/>
      <c r="L37" s="46"/>
      <c r="M37" s="46"/>
      <c r="N37" s="59"/>
      <c r="O37" s="46"/>
      <c r="P37" s="1154">
        <f>SUM(P33:P36)</f>
        <v>0</v>
      </c>
      <c r="Q37" s="1204"/>
      <c r="R37" s="1204"/>
      <c r="S37" s="1204"/>
      <c r="T37" s="1204"/>
      <c r="U37" s="59"/>
      <c r="V37" s="32"/>
      <c r="W37" s="32"/>
      <c r="X37" s="32"/>
      <c r="Y37" s="32"/>
      <c r="Z37" s="72"/>
      <c r="AA37" s="24"/>
      <c r="AB37" s="82"/>
      <c r="AC37" s="83"/>
      <c r="AD37" s="83"/>
      <c r="AE37" s="84"/>
      <c r="AF37" s="7"/>
      <c r="AG37" s="7"/>
      <c r="AH37" s="7"/>
      <c r="AI37" s="7"/>
      <c r="AJ37" s="16"/>
      <c r="AK37" s="7"/>
      <c r="AL37" s="7"/>
    </row>
    <row r="38" spans="2:38" ht="11.25" customHeight="1">
      <c r="B38" s="16"/>
      <c r="C38" s="47" t="s">
        <v>442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48"/>
      <c r="V38" s="24"/>
      <c r="W38" s="24"/>
      <c r="X38" s="24"/>
      <c r="Y38" s="24"/>
      <c r="Z38" s="48"/>
      <c r="AA38" s="24" t="s">
        <v>316</v>
      </c>
      <c r="AB38" s="1205">
        <f>AB30-W33</f>
        <v>787674</v>
      </c>
      <c r="AC38" s="1206"/>
      <c r="AD38" s="1206"/>
      <c r="AE38" s="1207"/>
      <c r="AF38" s="7"/>
      <c r="AG38" s="7"/>
      <c r="AH38" s="7"/>
      <c r="AI38" s="7"/>
      <c r="AJ38" s="16"/>
      <c r="AK38" s="7"/>
      <c r="AL38" s="7"/>
    </row>
    <row r="39" spans="2:38" ht="9" customHeight="1">
      <c r="B39" s="48"/>
      <c r="C39" s="49" t="s">
        <v>443</v>
      </c>
      <c r="D39" s="45"/>
      <c r="E39" s="45"/>
      <c r="F39" s="45"/>
      <c r="G39" s="45"/>
      <c r="H39" s="45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48"/>
      <c r="V39" s="24"/>
      <c r="W39" s="24"/>
      <c r="X39" s="24"/>
      <c r="Y39" s="24"/>
      <c r="Z39" s="48"/>
      <c r="AA39" s="80"/>
      <c r="AB39" s="24"/>
      <c r="AC39" s="24"/>
      <c r="AD39" s="24"/>
      <c r="AE39" s="48"/>
      <c r="AF39" s="24"/>
      <c r="AG39" s="24"/>
      <c r="AH39" s="24"/>
      <c r="AI39" s="24"/>
      <c r="AJ39" s="48"/>
      <c r="AK39" s="7"/>
      <c r="AL39" s="7"/>
    </row>
    <row r="40" spans="2:38" ht="13.5" customHeight="1">
      <c r="B40" s="48"/>
      <c r="C40" s="24"/>
      <c r="D40" s="24" t="s">
        <v>444</v>
      </c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48"/>
      <c r="V40" s="24" t="s">
        <v>316</v>
      </c>
      <c r="W40" s="1191">
        <f>'Income Tax Ass Old'!I25</f>
        <v>50000</v>
      </c>
      <c r="X40" s="1191"/>
      <c r="Y40" s="1191"/>
      <c r="Z40" s="1202"/>
      <c r="AA40" s="80"/>
      <c r="AB40" s="24"/>
      <c r="AC40" s="24"/>
      <c r="AD40" s="24"/>
      <c r="AE40" s="48"/>
      <c r="AF40" s="24"/>
      <c r="AG40" s="24"/>
      <c r="AH40" s="24"/>
      <c r="AI40" s="24"/>
      <c r="AJ40" s="48"/>
      <c r="AK40" s="7"/>
      <c r="AL40" s="7"/>
    </row>
    <row r="41" spans="2:38" ht="9" customHeight="1">
      <c r="B41" s="48"/>
      <c r="C41" s="24"/>
      <c r="D41" s="24" t="s">
        <v>445</v>
      </c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48"/>
      <c r="V41" s="24" t="s">
        <v>316</v>
      </c>
      <c r="W41" s="1191">
        <v>0</v>
      </c>
      <c r="X41" s="1191"/>
      <c r="Y41" s="1191"/>
      <c r="Z41" s="1202"/>
      <c r="AA41" s="80"/>
      <c r="AB41" s="24"/>
      <c r="AC41" s="24"/>
      <c r="AD41" s="24"/>
      <c r="AE41" s="48"/>
      <c r="AF41" s="24"/>
      <c r="AG41" s="24"/>
      <c r="AH41" s="24"/>
      <c r="AI41" s="24"/>
      <c r="AJ41" s="48"/>
      <c r="AK41" s="7"/>
      <c r="AL41" s="7"/>
    </row>
    <row r="42" spans="2:38" ht="9.75" customHeight="1">
      <c r="B42" s="48"/>
      <c r="C42" s="24"/>
      <c r="D42" s="24" t="s">
        <v>446</v>
      </c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48"/>
      <c r="V42" s="24" t="s">
        <v>316</v>
      </c>
      <c r="W42" s="1191">
        <f>'Income Tax Ass Old'!I28</f>
        <v>0</v>
      </c>
      <c r="X42" s="1191"/>
      <c r="Y42" s="1191"/>
      <c r="Z42" s="1202"/>
      <c r="AA42" s="80"/>
      <c r="AB42" s="24"/>
      <c r="AC42" s="24"/>
      <c r="AD42" s="24"/>
      <c r="AE42" s="48"/>
      <c r="AF42" s="24"/>
      <c r="AG42" s="24"/>
      <c r="AH42" s="24"/>
      <c r="AI42" s="24"/>
      <c r="AJ42" s="48"/>
      <c r="AK42" s="7"/>
      <c r="AL42" s="7"/>
    </row>
    <row r="43" spans="2:38" ht="9.75" customHeight="1">
      <c r="B43" s="48"/>
      <c r="C43" s="24"/>
      <c r="D43" s="24" t="s">
        <v>447</v>
      </c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48"/>
      <c r="V43" s="24" t="s">
        <v>316</v>
      </c>
      <c r="W43" s="1191">
        <f>'Income Tax Ass Old'!I29</f>
        <v>0</v>
      </c>
      <c r="X43" s="1191"/>
      <c r="Y43" s="1191"/>
      <c r="Z43" s="1202"/>
      <c r="AA43" s="24"/>
      <c r="AB43" s="24"/>
      <c r="AC43" s="24"/>
      <c r="AD43" s="24"/>
      <c r="AE43" s="48"/>
      <c r="AF43" s="24"/>
      <c r="AG43" s="24"/>
      <c r="AH43" s="24"/>
      <c r="AI43" s="24"/>
      <c r="AJ43" s="48"/>
      <c r="AK43" s="7"/>
      <c r="AL43" s="7"/>
    </row>
    <row r="44" spans="2:38" ht="10.5" customHeight="1">
      <c r="B44" s="48"/>
      <c r="C44" s="24" t="s">
        <v>448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48"/>
      <c r="V44" s="24"/>
      <c r="W44" s="24"/>
      <c r="X44" s="24"/>
      <c r="Y44" s="24"/>
      <c r="Z44" s="48"/>
      <c r="AA44" s="24" t="s">
        <v>316</v>
      </c>
      <c r="AB44" s="1191">
        <f>SUM(W40:W43)</f>
        <v>50000</v>
      </c>
      <c r="AC44" s="1191"/>
      <c r="AD44" s="1191"/>
      <c r="AE44" s="1202"/>
      <c r="AF44" s="24"/>
      <c r="AG44" s="24"/>
      <c r="AH44" s="24"/>
      <c r="AI44" s="24"/>
      <c r="AJ44" s="48"/>
      <c r="AK44" s="7"/>
      <c r="AL44" s="7"/>
    </row>
    <row r="45" spans="2:38" ht="11.25" customHeight="1">
      <c r="B45" s="48"/>
      <c r="C45" s="24" t="s">
        <v>449</v>
      </c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48"/>
      <c r="V45" s="24"/>
      <c r="W45" s="24"/>
      <c r="X45" s="24"/>
      <c r="Y45" s="24"/>
      <c r="Z45" s="48"/>
      <c r="AA45" s="80"/>
      <c r="AB45" s="24"/>
      <c r="AC45" s="24"/>
      <c r="AD45" s="24"/>
      <c r="AE45" s="48"/>
      <c r="AF45" s="24" t="s">
        <v>316</v>
      </c>
      <c r="AG45" s="1191">
        <f>AB38-AB44</f>
        <v>737674</v>
      </c>
      <c r="AH45" s="1192"/>
      <c r="AI45" s="1192"/>
      <c r="AJ45" s="1193"/>
      <c r="AK45" s="7"/>
      <c r="AL45" s="7"/>
    </row>
    <row r="46" spans="2:38" ht="9.75" customHeight="1">
      <c r="B46" s="48"/>
      <c r="C46" s="24" t="s">
        <v>450</v>
      </c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48"/>
      <c r="V46" s="24"/>
      <c r="W46" s="24"/>
      <c r="X46" s="24"/>
      <c r="Y46" s="24"/>
      <c r="Z46" s="48"/>
      <c r="AA46" s="80"/>
      <c r="AB46" s="24"/>
      <c r="AC46" s="24"/>
      <c r="AD46" s="24"/>
      <c r="AE46" s="48"/>
      <c r="AF46" s="24"/>
      <c r="AG46" s="24"/>
      <c r="AH46" s="24"/>
      <c r="AI46" s="24"/>
      <c r="AJ46" s="48"/>
      <c r="AK46" s="7"/>
      <c r="AL46" s="7"/>
    </row>
    <row r="47" spans="2:38" ht="9.75" customHeight="1">
      <c r="B47" s="48"/>
      <c r="C47" s="24"/>
      <c r="D47" s="46"/>
      <c r="E47" s="46"/>
      <c r="F47" s="46" t="s">
        <v>438</v>
      </c>
      <c r="G47" s="46"/>
      <c r="H47" s="46"/>
      <c r="I47" s="46"/>
      <c r="J47" s="46"/>
      <c r="K47" s="46"/>
      <c r="L47" s="46"/>
      <c r="M47" s="46"/>
      <c r="N47" s="59"/>
      <c r="O47" s="46"/>
      <c r="P47" s="46"/>
      <c r="Q47" s="46" t="s">
        <v>439</v>
      </c>
      <c r="R47" s="46"/>
      <c r="S47" s="46"/>
      <c r="T47" s="46"/>
      <c r="U47" s="59"/>
      <c r="V47" s="32"/>
      <c r="W47" s="32"/>
      <c r="X47" s="32"/>
      <c r="Y47" s="32"/>
      <c r="Z47" s="32"/>
      <c r="AA47" s="80"/>
      <c r="AB47" s="24"/>
      <c r="AC47" s="24"/>
      <c r="AD47" s="24"/>
      <c r="AE47" s="48"/>
      <c r="AF47" s="24"/>
      <c r="AG47" s="24"/>
      <c r="AH47" s="24"/>
      <c r="AI47" s="24"/>
      <c r="AJ47" s="48"/>
      <c r="AK47" s="7"/>
      <c r="AL47" s="7"/>
    </row>
    <row r="48" spans="2:38" ht="8.25" customHeight="1">
      <c r="B48" s="48"/>
      <c r="C48" s="24"/>
      <c r="D48" s="46"/>
      <c r="E48" s="46"/>
      <c r="F48" s="46"/>
      <c r="G48" s="46"/>
      <c r="H48" s="46"/>
      <c r="I48" s="60" t="s">
        <v>413</v>
      </c>
      <c r="J48" s="46"/>
      <c r="K48" s="46"/>
      <c r="L48" s="46"/>
      <c r="M48" s="46"/>
      <c r="N48" s="59"/>
      <c r="O48" s="46"/>
      <c r="P48" s="46"/>
      <c r="Q48" s="46"/>
      <c r="R48" s="46"/>
      <c r="S48" s="60" t="s">
        <v>413</v>
      </c>
      <c r="T48" s="46"/>
      <c r="U48" s="59"/>
      <c r="V48" s="32"/>
      <c r="W48" s="32"/>
      <c r="X48" s="32"/>
      <c r="Y48" s="32"/>
      <c r="Z48" s="32"/>
      <c r="AA48" s="80"/>
      <c r="AB48" s="24"/>
      <c r="AC48" s="24"/>
      <c r="AD48" s="24"/>
      <c r="AE48" s="48"/>
      <c r="AF48" s="24"/>
      <c r="AG48" s="24"/>
      <c r="AH48" s="24"/>
      <c r="AI48" s="24"/>
      <c r="AJ48" s="48"/>
      <c r="AK48" s="7"/>
      <c r="AL48" s="7"/>
    </row>
    <row r="49" spans="2:74" ht="8.25" customHeight="1">
      <c r="B49" s="48"/>
      <c r="C49" s="24"/>
      <c r="D49" s="46" t="s">
        <v>441</v>
      </c>
      <c r="E49" s="46"/>
      <c r="F49" s="46"/>
      <c r="G49" s="46"/>
      <c r="H49" s="46"/>
      <c r="I49" s="61"/>
      <c r="J49" s="46"/>
      <c r="K49" s="46"/>
      <c r="L49" s="46"/>
      <c r="M49" s="46"/>
      <c r="N49" s="59"/>
      <c r="O49" s="46"/>
      <c r="P49" s="46"/>
      <c r="Q49" s="46"/>
      <c r="R49" s="46"/>
      <c r="S49" s="61" t="s">
        <v>413</v>
      </c>
      <c r="T49" s="46"/>
      <c r="U49" s="59"/>
      <c r="V49" s="32"/>
      <c r="W49" s="32"/>
      <c r="X49" s="32"/>
      <c r="Y49" s="32"/>
      <c r="Z49" s="72"/>
      <c r="AA49" s="24" t="s">
        <v>316</v>
      </c>
      <c r="AB49" s="1191">
        <v>0</v>
      </c>
      <c r="AC49" s="1191"/>
      <c r="AD49" s="1191"/>
      <c r="AE49" s="1202"/>
      <c r="AF49" s="24"/>
      <c r="AG49" s="95"/>
      <c r="AH49" s="95"/>
      <c r="AI49" s="95"/>
      <c r="AJ49" s="96"/>
      <c r="AK49" s="7"/>
      <c r="AL49" s="7"/>
      <c r="BV49" s="114"/>
    </row>
    <row r="50" spans="2:74" ht="10.5" customHeight="1">
      <c r="B50" s="48"/>
      <c r="C50" s="24" t="s">
        <v>451</v>
      </c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48"/>
      <c r="V50" s="24"/>
      <c r="W50" s="24"/>
      <c r="X50" s="24"/>
      <c r="Y50" s="24"/>
      <c r="Z50" s="48"/>
      <c r="AA50" s="80"/>
      <c r="AB50" s="24"/>
      <c r="AC50" s="24"/>
      <c r="AD50" s="24"/>
      <c r="AE50" s="48"/>
      <c r="AF50" s="24" t="s">
        <v>316</v>
      </c>
      <c r="AG50" s="1191">
        <f>AG45</f>
        <v>737674</v>
      </c>
      <c r="AH50" s="1192"/>
      <c r="AI50" s="1192"/>
      <c r="AJ50" s="1193"/>
      <c r="AK50" s="7"/>
      <c r="AL50" s="7"/>
    </row>
    <row r="51" spans="2:74" ht="12" customHeight="1">
      <c r="B51" s="48"/>
      <c r="C51" s="24" t="s">
        <v>452</v>
      </c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32"/>
      <c r="Q51" s="32"/>
      <c r="R51" s="32"/>
      <c r="S51" s="32"/>
      <c r="T51" s="24"/>
      <c r="U51" s="48"/>
      <c r="V51" s="24" t="s">
        <v>453</v>
      </c>
      <c r="W51" s="24"/>
      <c r="X51" s="24"/>
      <c r="Y51" s="24"/>
      <c r="Z51" s="32"/>
      <c r="AA51" s="1203" t="s">
        <v>454</v>
      </c>
      <c r="AB51" s="1194"/>
      <c r="AC51" s="1194"/>
      <c r="AD51" s="1194"/>
      <c r="AE51" s="1195"/>
      <c r="AF51" s="1203" t="s">
        <v>455</v>
      </c>
      <c r="AG51" s="1194"/>
      <c r="AH51" s="1194"/>
      <c r="AI51" s="1194"/>
      <c r="AJ51" s="1195"/>
      <c r="AK51" s="7"/>
      <c r="AL51" s="7"/>
    </row>
    <row r="52" spans="2:74" ht="10.5" customHeight="1">
      <c r="B52" s="48"/>
      <c r="C52" s="24"/>
      <c r="D52" s="24" t="s">
        <v>456</v>
      </c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48"/>
      <c r="V52" s="32"/>
      <c r="W52" s="32"/>
      <c r="X52" s="32"/>
      <c r="Y52" s="32"/>
      <c r="Z52" s="32"/>
      <c r="AA52" s="1203" t="s">
        <v>457</v>
      </c>
      <c r="AB52" s="1194"/>
      <c r="AC52" s="1194"/>
      <c r="AD52" s="1194"/>
      <c r="AE52" s="1195"/>
      <c r="AF52" s="1203" t="s">
        <v>457</v>
      </c>
      <c r="AG52" s="1194"/>
      <c r="AH52" s="1194"/>
      <c r="AI52" s="1194"/>
      <c r="AJ52" s="1195"/>
      <c r="AK52" s="7"/>
      <c r="AL52" s="7"/>
      <c r="AP52" s="101" t="str">
        <f>'Personal Information'!$M$11</f>
        <v>C</v>
      </c>
    </row>
    <row r="53" spans="2:74" ht="10.5" customHeight="1">
      <c r="B53" s="16"/>
      <c r="C53" s="7"/>
      <c r="D53" s="7"/>
      <c r="E53" s="7" t="s">
        <v>458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16"/>
      <c r="V53" s="7"/>
      <c r="W53" s="7"/>
      <c r="X53" s="7"/>
      <c r="Y53" s="7"/>
      <c r="Z53" s="16"/>
      <c r="AA53" s="7"/>
      <c r="AB53" s="7"/>
      <c r="AC53" s="7"/>
      <c r="AD53" s="7"/>
      <c r="AE53" s="16"/>
      <c r="AF53" s="7"/>
      <c r="AG53" s="7"/>
      <c r="AH53" s="7"/>
      <c r="AI53" s="7"/>
      <c r="AJ53" s="16"/>
      <c r="AK53" s="7"/>
      <c r="AL53" s="7"/>
    </row>
    <row r="54" spans="2:74" ht="10.5" customHeight="1">
      <c r="B54" s="16"/>
      <c r="C54" s="24"/>
      <c r="D54" s="24"/>
      <c r="E54" s="24" t="s">
        <v>459</v>
      </c>
      <c r="F54" s="24"/>
      <c r="G54" s="50" t="str">
        <f>IF(AP52="G",AP54,AP56)</f>
        <v>CPSN</v>
      </c>
      <c r="H54" s="50"/>
      <c r="I54" s="50"/>
      <c r="J54" s="62"/>
      <c r="K54" s="24"/>
      <c r="L54" s="24"/>
      <c r="M54" s="24"/>
      <c r="N54" s="24"/>
      <c r="O54" s="24"/>
      <c r="P54" s="32"/>
      <c r="Q54" s="32"/>
      <c r="R54" s="32"/>
      <c r="S54" s="32"/>
      <c r="T54" s="32"/>
      <c r="U54" s="72"/>
      <c r="V54" s="24" t="s">
        <v>316</v>
      </c>
      <c r="W54" s="1178">
        <f>IF(AP52="C",AQ56,IF(AP52="G",AQ54))</f>
        <v>64456</v>
      </c>
      <c r="X54" s="1178"/>
      <c r="Y54" s="1178"/>
      <c r="Z54" s="1184"/>
      <c r="AA54" s="24"/>
      <c r="AB54" s="1194"/>
      <c r="AC54" s="1194"/>
      <c r="AD54" s="1194"/>
      <c r="AE54" s="1195"/>
      <c r="AF54" s="24"/>
      <c r="AG54" s="24"/>
      <c r="AH54" s="24"/>
      <c r="AI54" s="47"/>
      <c r="AJ54" s="48"/>
      <c r="AK54" s="7"/>
      <c r="AL54" s="7"/>
      <c r="AP54" s="24" t="s">
        <v>460</v>
      </c>
      <c r="AQ54" s="102">
        <f>'Salary Details'!N27</f>
        <v>64456</v>
      </c>
      <c r="AR54" s="102"/>
      <c r="AS54" s="102"/>
      <c r="AT54" s="103"/>
    </row>
    <row r="55" spans="2:74" ht="10.5" customHeight="1">
      <c r="B55" s="16"/>
      <c r="C55" s="24"/>
      <c r="D55" s="24"/>
      <c r="E55" s="24" t="s">
        <v>461</v>
      </c>
      <c r="F55" s="24"/>
      <c r="G55" s="24" t="s">
        <v>251</v>
      </c>
      <c r="H55" s="24"/>
      <c r="I55" s="24"/>
      <c r="J55" s="24"/>
      <c r="K55" s="24"/>
      <c r="L55" s="24"/>
      <c r="M55" s="24"/>
      <c r="N55" s="24"/>
      <c r="O55" s="24"/>
      <c r="P55" s="32"/>
      <c r="Q55" s="32"/>
      <c r="R55" s="32"/>
      <c r="S55" s="32"/>
      <c r="T55" s="32"/>
      <c r="U55" s="72"/>
      <c r="V55" s="24" t="s">
        <v>316</v>
      </c>
      <c r="W55" s="1178">
        <f>'Income Tax Ass Old'!I36</f>
        <v>4200</v>
      </c>
      <c r="X55" s="1178"/>
      <c r="Y55" s="1178"/>
      <c r="Z55" s="1184"/>
      <c r="AA55" s="24"/>
      <c r="AB55" s="1194"/>
      <c r="AC55" s="1194"/>
      <c r="AD55" s="1194"/>
      <c r="AE55" s="1195"/>
      <c r="AF55" s="24"/>
      <c r="AG55" s="24"/>
      <c r="AH55" s="24"/>
      <c r="AI55" s="24"/>
      <c r="AJ55" s="48"/>
      <c r="AK55" s="7"/>
      <c r="AL55" s="7"/>
      <c r="AP55" s="24"/>
      <c r="AQ55" s="102"/>
      <c r="AR55" s="95"/>
      <c r="AS55" s="95"/>
      <c r="AT55" s="95"/>
    </row>
    <row r="56" spans="2:74" ht="11.25" customHeight="1">
      <c r="B56" s="16"/>
      <c r="C56" s="24"/>
      <c r="D56" s="24"/>
      <c r="E56" s="24" t="s">
        <v>462</v>
      </c>
      <c r="F56" s="24"/>
      <c r="G56" s="24" t="s">
        <v>463</v>
      </c>
      <c r="H56" s="24"/>
      <c r="I56" s="24"/>
      <c r="J56" s="24"/>
      <c r="K56" s="24"/>
      <c r="L56" s="24"/>
      <c r="M56" s="24"/>
      <c r="N56" s="24"/>
      <c r="O56" s="24"/>
      <c r="P56" s="32"/>
      <c r="Q56" s="32"/>
      <c r="R56" s="32"/>
      <c r="S56" s="32"/>
      <c r="T56" s="32"/>
      <c r="U56" s="72"/>
      <c r="V56" s="24" t="s">
        <v>316</v>
      </c>
      <c r="W56" s="1178">
        <f>'Income Tax Ass Old'!I38</f>
        <v>0</v>
      </c>
      <c r="X56" s="1178"/>
      <c r="Y56" s="1178"/>
      <c r="Z56" s="1184"/>
      <c r="AA56" s="24"/>
      <c r="AB56" s="1194"/>
      <c r="AC56" s="1194"/>
      <c r="AD56" s="1194"/>
      <c r="AE56" s="1195"/>
      <c r="AF56" s="24"/>
      <c r="AG56" s="24"/>
      <c r="AH56" s="24"/>
      <c r="AI56" s="24"/>
      <c r="AJ56" s="48"/>
      <c r="AK56" s="7"/>
      <c r="AL56" s="7"/>
      <c r="AP56" s="22" t="s">
        <v>464</v>
      </c>
      <c r="AQ56" s="102">
        <f>'Income Tax Ass Old'!I43</f>
        <v>64456</v>
      </c>
    </row>
    <row r="57" spans="2:74" ht="9.75" customHeight="1">
      <c r="B57" s="16"/>
      <c r="C57" s="24"/>
      <c r="D57" s="24"/>
      <c r="E57" s="24" t="s">
        <v>465</v>
      </c>
      <c r="F57" s="24"/>
      <c r="G57" s="24" t="s">
        <v>466</v>
      </c>
      <c r="H57" s="24"/>
      <c r="I57" s="24"/>
      <c r="J57" s="24"/>
      <c r="K57" s="24"/>
      <c r="L57" s="24"/>
      <c r="M57" s="24"/>
      <c r="N57" s="24"/>
      <c r="O57" s="24"/>
      <c r="P57" s="32"/>
      <c r="Q57" s="32"/>
      <c r="R57" s="32"/>
      <c r="S57" s="32"/>
      <c r="T57" s="32"/>
      <c r="U57" s="72"/>
      <c r="V57" s="24" t="s">
        <v>316</v>
      </c>
      <c r="W57" s="1178">
        <f>'Income Tax Ass Old'!I38</f>
        <v>0</v>
      </c>
      <c r="X57" s="1178"/>
      <c r="Y57" s="1178"/>
      <c r="Z57" s="1184"/>
      <c r="AA57" s="24"/>
      <c r="AB57" s="1194"/>
      <c r="AC57" s="1194"/>
      <c r="AD57" s="1194"/>
      <c r="AE57" s="1195"/>
      <c r="AF57" s="24"/>
      <c r="AG57" s="24"/>
      <c r="AH57" s="24"/>
      <c r="AI57" s="24"/>
      <c r="AJ57" s="48"/>
      <c r="AK57" s="7"/>
      <c r="AL57" s="7"/>
      <c r="BV57" s="115"/>
    </row>
    <row r="58" spans="2:74" ht="10.5" customHeight="1">
      <c r="B58" s="16"/>
      <c r="C58" s="24"/>
      <c r="D58" s="24"/>
      <c r="E58" s="24" t="s">
        <v>467</v>
      </c>
      <c r="F58" s="24"/>
      <c r="G58" s="24" t="s">
        <v>468</v>
      </c>
      <c r="H58" s="24"/>
      <c r="I58" s="24"/>
      <c r="J58" s="24"/>
      <c r="K58" s="24"/>
      <c r="L58" s="24"/>
      <c r="M58" s="24"/>
      <c r="N58" s="24"/>
      <c r="O58" s="24"/>
      <c r="P58" s="32"/>
      <c r="Q58" s="32"/>
      <c r="R58" s="32"/>
      <c r="S58" s="32"/>
      <c r="T58" s="32"/>
      <c r="U58" s="72"/>
      <c r="V58" s="24" t="s">
        <v>316</v>
      </c>
      <c r="W58" s="1178">
        <f>'Income Tax Ass Old'!I39</f>
        <v>0</v>
      </c>
      <c r="X58" s="1178"/>
      <c r="Y58" s="1178"/>
      <c r="Z58" s="1184"/>
      <c r="AA58" s="24"/>
      <c r="AB58" s="1194"/>
      <c r="AC58" s="1194"/>
      <c r="AD58" s="1194"/>
      <c r="AE58" s="1195"/>
      <c r="AF58" s="24"/>
      <c r="AG58" s="24"/>
      <c r="AH58" s="24"/>
      <c r="AI58" s="24"/>
      <c r="AJ58" s="48"/>
      <c r="AK58" s="7"/>
      <c r="AL58" s="7"/>
    </row>
    <row r="59" spans="2:74" ht="10.5" customHeight="1">
      <c r="B59" s="16"/>
      <c r="C59" s="24"/>
      <c r="D59" s="24"/>
      <c r="E59" s="24" t="s">
        <v>469</v>
      </c>
      <c r="F59" s="24"/>
      <c r="G59" s="24" t="s">
        <v>470</v>
      </c>
      <c r="H59" s="24"/>
      <c r="I59" s="24"/>
      <c r="J59" s="24"/>
      <c r="K59" s="24"/>
      <c r="L59" s="24"/>
      <c r="M59" s="24"/>
      <c r="N59" s="24"/>
      <c r="O59" s="24"/>
      <c r="P59" s="32"/>
      <c r="Q59" s="32"/>
      <c r="R59" s="32"/>
      <c r="S59" s="32"/>
      <c r="T59" s="32"/>
      <c r="U59" s="72"/>
      <c r="V59" s="24" t="s">
        <v>316</v>
      </c>
      <c r="W59" s="1178">
        <f>'Income Tax Ass Old'!I40</f>
        <v>0</v>
      </c>
      <c r="X59" s="1178"/>
      <c r="Y59" s="1178"/>
      <c r="Z59" s="1184"/>
      <c r="AA59" s="24"/>
      <c r="AB59" s="1194"/>
      <c r="AC59" s="1194"/>
      <c r="AD59" s="1194"/>
      <c r="AE59" s="1195"/>
      <c r="AF59" s="24"/>
      <c r="AG59" s="24"/>
      <c r="AH59" s="24"/>
      <c r="AI59" s="24"/>
      <c r="AJ59" s="48"/>
      <c r="AK59" s="7"/>
      <c r="AL59" s="7"/>
    </row>
    <row r="60" spans="2:74" ht="9.75" customHeight="1">
      <c r="B60" s="16"/>
      <c r="C60" s="24"/>
      <c r="D60" s="24"/>
      <c r="E60" s="24" t="s">
        <v>471</v>
      </c>
      <c r="F60" s="24"/>
      <c r="G60" s="24" t="s">
        <v>472</v>
      </c>
      <c r="H60" s="24"/>
      <c r="I60" s="24"/>
      <c r="J60" s="24"/>
      <c r="K60" s="24"/>
      <c r="L60" s="24"/>
      <c r="M60" s="24"/>
      <c r="N60" s="24"/>
      <c r="O60" s="24"/>
      <c r="P60" s="32"/>
      <c r="Q60" s="32"/>
      <c r="R60" s="32"/>
      <c r="S60" s="32"/>
      <c r="T60" s="32"/>
      <c r="U60" s="72"/>
      <c r="V60" s="24" t="s">
        <v>316</v>
      </c>
      <c r="W60" s="1178">
        <f>'Income Tax Ass Old'!I41</f>
        <v>0</v>
      </c>
      <c r="X60" s="1178"/>
      <c r="Y60" s="1178"/>
      <c r="Z60" s="1184"/>
      <c r="AA60" s="24"/>
      <c r="AB60" s="1194"/>
      <c r="AC60" s="1194"/>
      <c r="AD60" s="1194"/>
      <c r="AE60" s="1195"/>
      <c r="AF60" s="24"/>
      <c r="AG60" s="24"/>
      <c r="AH60" s="24"/>
      <c r="AI60" s="24"/>
      <c r="AJ60" s="48"/>
      <c r="AK60" s="7"/>
      <c r="AL60" s="7"/>
    </row>
    <row r="61" spans="2:74" ht="10.5" customHeight="1">
      <c r="B61" s="16"/>
      <c r="C61" s="24"/>
      <c r="D61" s="24"/>
      <c r="E61" s="24" t="s">
        <v>473</v>
      </c>
      <c r="F61" s="24"/>
      <c r="G61" s="24" t="s">
        <v>474</v>
      </c>
      <c r="H61" s="24"/>
      <c r="I61" s="24"/>
      <c r="J61" s="24"/>
      <c r="K61" s="24"/>
      <c r="L61" s="24"/>
      <c r="M61" s="24"/>
      <c r="N61" s="24"/>
      <c r="O61" s="24"/>
      <c r="P61" s="32"/>
      <c r="Q61" s="32"/>
      <c r="R61" s="32"/>
      <c r="S61" s="32"/>
      <c r="T61" s="32"/>
      <c r="U61" s="72"/>
      <c r="V61" s="24" t="s">
        <v>316</v>
      </c>
      <c r="W61" s="1178">
        <f>'Income Tax Ass Old'!I42</f>
        <v>0</v>
      </c>
      <c r="X61" s="1178"/>
      <c r="Y61" s="1178"/>
      <c r="Z61" s="1184"/>
      <c r="AA61" s="24"/>
      <c r="AB61" s="1194"/>
      <c r="AC61" s="1194"/>
      <c r="AD61" s="1194"/>
      <c r="AE61" s="1195"/>
      <c r="AF61" s="24"/>
      <c r="AG61" s="24"/>
      <c r="AH61" s="24"/>
      <c r="AI61" s="24"/>
      <c r="AJ61" s="48"/>
      <c r="AK61" s="7"/>
      <c r="AL61" s="7"/>
    </row>
    <row r="62" spans="2:74" ht="11.25" customHeight="1">
      <c r="B62" s="16"/>
      <c r="C62" s="24"/>
      <c r="D62" s="24"/>
      <c r="E62" s="24" t="s">
        <v>475</v>
      </c>
      <c r="F62" s="24"/>
      <c r="G62" s="24" t="s">
        <v>476</v>
      </c>
      <c r="H62" s="24"/>
      <c r="I62" s="24"/>
      <c r="J62" s="24"/>
      <c r="K62" s="24"/>
      <c r="L62" s="24"/>
      <c r="M62" s="24"/>
      <c r="N62" s="24"/>
      <c r="O62" s="24"/>
      <c r="P62" s="32"/>
      <c r="Q62" s="32"/>
      <c r="R62" s="32"/>
      <c r="S62" s="32"/>
      <c r="T62" s="32"/>
      <c r="U62" s="72"/>
      <c r="V62" s="24" t="s">
        <v>316</v>
      </c>
      <c r="W62" s="1178">
        <f>'Income Tax Ass Old'!I44</f>
        <v>0</v>
      </c>
      <c r="X62" s="1178"/>
      <c r="Y62" s="1178"/>
      <c r="Z62" s="1184"/>
      <c r="AA62" s="24"/>
      <c r="AB62" s="85"/>
      <c r="AC62" s="85"/>
      <c r="AD62" s="85"/>
      <c r="AE62" s="86"/>
      <c r="AF62" s="24"/>
      <c r="AG62" s="24"/>
      <c r="AH62" s="24"/>
      <c r="AI62" s="24"/>
      <c r="AJ62" s="48"/>
      <c r="AK62" s="7"/>
      <c r="AL62" s="7"/>
    </row>
    <row r="63" spans="2:74" ht="11.25" customHeight="1">
      <c r="B63" s="16"/>
      <c r="C63" s="24"/>
      <c r="D63" s="24"/>
      <c r="E63" s="24"/>
      <c r="F63" s="24"/>
      <c r="G63" s="45" t="s">
        <v>166</v>
      </c>
      <c r="H63" s="45"/>
      <c r="I63" s="24"/>
      <c r="J63" s="24"/>
      <c r="K63" s="24"/>
      <c r="L63" s="24"/>
      <c r="M63" s="24"/>
      <c r="N63" s="24"/>
      <c r="O63" s="24"/>
      <c r="P63" s="32"/>
      <c r="Q63" s="32"/>
      <c r="R63" s="32"/>
      <c r="S63" s="32"/>
      <c r="T63" s="32"/>
      <c r="U63" s="72"/>
      <c r="V63" s="24" t="s">
        <v>316</v>
      </c>
      <c r="W63" s="1196">
        <f>SUM(W54:W62)</f>
        <v>68656</v>
      </c>
      <c r="X63" s="1196"/>
      <c r="Y63" s="1196"/>
      <c r="Z63" s="1197"/>
      <c r="AA63" s="24" t="s">
        <v>316</v>
      </c>
      <c r="AB63" s="1198">
        <f>IF(W63&gt;149999,150000,W63)</f>
        <v>68656</v>
      </c>
      <c r="AC63" s="1198"/>
      <c r="AD63" s="1198"/>
      <c r="AE63" s="1199"/>
      <c r="AF63" s="87" t="s">
        <v>316</v>
      </c>
      <c r="AG63" s="1200">
        <f>IF(AB63&gt;149999,150000,AB63)</f>
        <v>68656</v>
      </c>
      <c r="AH63" s="1200"/>
      <c r="AI63" s="1200"/>
      <c r="AJ63" s="1201"/>
      <c r="AK63" s="7"/>
      <c r="AL63" s="7"/>
    </row>
    <row r="64" spans="2:74">
      <c r="B64" s="16"/>
      <c r="C64" s="24"/>
      <c r="D64" s="24"/>
      <c r="E64" s="24" t="s">
        <v>477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32"/>
      <c r="Q64" s="32"/>
      <c r="R64" s="32"/>
      <c r="S64" s="32"/>
      <c r="T64" s="32"/>
      <c r="U64" s="72"/>
      <c r="V64" s="24" t="s">
        <v>316</v>
      </c>
      <c r="W64" s="1178">
        <f>'Income Tax Ass Old'!I48</f>
        <v>0</v>
      </c>
      <c r="X64" s="1179"/>
      <c r="Y64" s="1179"/>
      <c r="Z64" s="1180"/>
      <c r="AA64" s="70" t="s">
        <v>316</v>
      </c>
      <c r="AB64" s="1178">
        <f>W64</f>
        <v>0</v>
      </c>
      <c r="AC64" s="1179"/>
      <c r="AD64" s="1179"/>
      <c r="AE64" s="1180"/>
      <c r="AF64" s="70" t="s">
        <v>316</v>
      </c>
      <c r="AG64" s="1178">
        <f>AB64</f>
        <v>0</v>
      </c>
      <c r="AH64" s="1179"/>
      <c r="AI64" s="1179"/>
      <c r="AJ64" s="1180"/>
      <c r="AK64" s="7"/>
      <c r="AL64" s="7"/>
    </row>
    <row r="65" spans="2:43">
      <c r="B65" s="16"/>
      <c r="C65" s="7"/>
      <c r="D65" s="7"/>
      <c r="E65" s="23" t="s">
        <v>478</v>
      </c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9"/>
      <c r="Q65" s="29"/>
      <c r="R65" s="29"/>
      <c r="S65" s="29"/>
      <c r="T65" s="29"/>
      <c r="U65" s="34"/>
      <c r="V65" s="23" t="s">
        <v>316</v>
      </c>
      <c r="W65" s="1178">
        <f>'Income Tax Ass Old'!I49</f>
        <v>90240</v>
      </c>
      <c r="X65" s="1178"/>
      <c r="Y65" s="1178"/>
      <c r="Z65" s="1184"/>
      <c r="AA65" s="23" t="s">
        <v>316</v>
      </c>
      <c r="AB65" s="1185">
        <f>W65</f>
        <v>90240</v>
      </c>
      <c r="AC65" s="1186"/>
      <c r="AD65" s="1186"/>
      <c r="AE65" s="1187"/>
      <c r="AF65" s="23" t="s">
        <v>316</v>
      </c>
      <c r="AG65" s="1185">
        <f>W65</f>
        <v>90240</v>
      </c>
      <c r="AH65" s="1186"/>
      <c r="AI65" s="1186"/>
      <c r="AJ65" s="1187"/>
      <c r="AK65" s="7"/>
      <c r="AL65" s="7"/>
    </row>
    <row r="66" spans="2:43" ht="11.25" customHeight="1">
      <c r="B66" s="16"/>
      <c r="C66" s="7"/>
      <c r="D66" s="7"/>
      <c r="E66" s="24" t="s">
        <v>479</v>
      </c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48"/>
      <c r="V66" s="24"/>
      <c r="W66" s="73"/>
      <c r="X66" s="73"/>
      <c r="Y66" s="73"/>
      <c r="Z66" s="73"/>
      <c r="AA66" s="18"/>
      <c r="AB66" s="73"/>
      <c r="AC66" s="73"/>
      <c r="AD66" s="73"/>
      <c r="AE66" s="73"/>
      <c r="AF66" s="24"/>
      <c r="AG66" s="24"/>
      <c r="AH66" s="24"/>
      <c r="AI66" s="18"/>
      <c r="AJ66" s="53"/>
      <c r="AK66" s="7"/>
      <c r="AL66" s="7"/>
    </row>
    <row r="67" spans="2:43" ht="9.75" customHeight="1">
      <c r="B67" s="16"/>
      <c r="C67" s="7"/>
      <c r="D67" s="7"/>
      <c r="E67" s="23"/>
      <c r="F67" s="23"/>
      <c r="G67" s="23" t="s">
        <v>480</v>
      </c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58"/>
      <c r="V67" s="23"/>
      <c r="W67" s="74"/>
      <c r="X67" s="74"/>
      <c r="Y67" s="74"/>
      <c r="Z67" s="89"/>
      <c r="AA67" s="23"/>
      <c r="AB67" s="74"/>
      <c r="AC67" s="74"/>
      <c r="AD67" s="74"/>
      <c r="AE67" s="89"/>
      <c r="AF67" s="23"/>
      <c r="AG67" s="23"/>
      <c r="AH67" s="23"/>
      <c r="AI67" s="23"/>
      <c r="AJ67" s="58"/>
      <c r="AK67" s="7"/>
      <c r="AL67" s="7"/>
    </row>
    <row r="68" spans="2:43" ht="10.15" customHeight="1">
      <c r="B68" s="16"/>
      <c r="C68" s="7"/>
      <c r="D68" s="51" t="s">
        <v>481</v>
      </c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16"/>
      <c r="V68" s="24" t="s">
        <v>482</v>
      </c>
      <c r="W68" s="24"/>
      <c r="X68" s="24"/>
      <c r="Y68" s="24"/>
      <c r="Z68" s="33"/>
      <c r="AA68" s="17" t="s">
        <v>483</v>
      </c>
      <c r="AB68" s="18"/>
      <c r="AC68" s="18"/>
      <c r="AD68" s="18"/>
      <c r="AE68" s="53"/>
      <c r="AF68" s="17" t="s">
        <v>484</v>
      </c>
      <c r="AG68" s="24"/>
      <c r="AH68" s="24"/>
      <c r="AI68" s="24"/>
      <c r="AJ68" s="48"/>
      <c r="AK68" s="7"/>
      <c r="AL68" s="7"/>
    </row>
    <row r="69" spans="2:43" ht="10.5" customHeight="1">
      <c r="B69" s="16"/>
      <c r="C69" s="7"/>
      <c r="D69" s="7"/>
      <c r="E69" s="24" t="s">
        <v>485</v>
      </c>
      <c r="F69" s="24"/>
      <c r="G69" s="24"/>
      <c r="H69" s="24"/>
      <c r="I69" s="24"/>
      <c r="J69" s="24"/>
      <c r="K69" s="24"/>
      <c r="L69" s="24"/>
      <c r="M69" s="24"/>
      <c r="N69" s="24"/>
      <c r="O69" s="63"/>
      <c r="P69" s="63"/>
      <c r="Q69" s="63"/>
      <c r="R69" s="63"/>
      <c r="S69" s="63"/>
      <c r="T69" s="24"/>
      <c r="U69" s="16"/>
      <c r="V69" s="24" t="s">
        <v>316</v>
      </c>
      <c r="W69" s="1178">
        <v>0</v>
      </c>
      <c r="X69" s="1178"/>
      <c r="Y69" s="1178"/>
      <c r="Z69" s="1184"/>
      <c r="AA69" s="24" t="s">
        <v>316</v>
      </c>
      <c r="AB69" s="1188">
        <f>W69</f>
        <v>0</v>
      </c>
      <c r="AC69" s="1189"/>
      <c r="AD69" s="1189"/>
      <c r="AE69" s="1190"/>
      <c r="AF69" s="24" t="s">
        <v>316</v>
      </c>
      <c r="AG69" s="1191">
        <f>W69</f>
        <v>0</v>
      </c>
      <c r="AH69" s="1192"/>
      <c r="AI69" s="1192"/>
      <c r="AJ69" s="1193"/>
      <c r="AK69" s="7"/>
      <c r="AL69" s="7"/>
      <c r="AN69" s="93"/>
      <c r="AO69" s="741" t="s">
        <v>231</v>
      </c>
      <c r="AP69" s="742" t="s">
        <v>231</v>
      </c>
      <c r="AQ69" s="743" t="s">
        <v>231</v>
      </c>
    </row>
    <row r="70" spans="2:43" ht="10.5" customHeight="1">
      <c r="B70" s="16"/>
      <c r="C70" s="7"/>
      <c r="D70" s="24"/>
      <c r="E70" s="24" t="s">
        <v>486</v>
      </c>
      <c r="F70" s="24"/>
      <c r="G70" s="24"/>
      <c r="H70" s="24"/>
      <c r="I70" s="24"/>
      <c r="J70" s="24"/>
      <c r="K70" s="24"/>
      <c r="L70" s="24"/>
      <c r="M70" s="24"/>
      <c r="N70" s="24"/>
      <c r="O70" s="21"/>
      <c r="P70" s="21"/>
      <c r="Q70" s="21"/>
      <c r="R70" s="21"/>
      <c r="S70" s="21"/>
      <c r="T70" s="24"/>
      <c r="U70" s="48"/>
      <c r="V70" s="63" t="s">
        <v>316</v>
      </c>
      <c r="W70" s="1178">
        <f>'Income Tax Ass Old'!I50</f>
        <v>0</v>
      </c>
      <c r="X70" s="1178"/>
      <c r="Y70" s="1178"/>
      <c r="Z70" s="1184"/>
      <c r="AA70" s="24" t="s">
        <v>316</v>
      </c>
      <c r="AB70" s="1181">
        <f>W70</f>
        <v>0</v>
      </c>
      <c r="AC70" s="1182"/>
      <c r="AD70" s="1182"/>
      <c r="AE70" s="1183"/>
      <c r="AF70" s="24" t="s">
        <v>316</v>
      </c>
      <c r="AG70" s="1178">
        <f>W70</f>
        <v>0</v>
      </c>
      <c r="AH70" s="1178"/>
      <c r="AI70" s="1178"/>
      <c r="AJ70" s="1184"/>
      <c r="AK70" s="7"/>
      <c r="AL70" s="7"/>
    </row>
    <row r="71" spans="2:43" ht="10.5" customHeight="1">
      <c r="B71" s="16"/>
      <c r="C71" s="7"/>
      <c r="D71" s="24"/>
      <c r="E71" s="24" t="s">
        <v>487</v>
      </c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48"/>
      <c r="V71" s="24" t="s">
        <v>316</v>
      </c>
      <c r="W71" s="1178">
        <f>'Income Tax Ass Old'!I51</f>
        <v>0</v>
      </c>
      <c r="X71" s="1179"/>
      <c r="Y71" s="1179"/>
      <c r="Z71" s="1180"/>
      <c r="AA71" s="24" t="s">
        <v>316</v>
      </c>
      <c r="AB71" s="1181">
        <f>W71</f>
        <v>0</v>
      </c>
      <c r="AC71" s="1182"/>
      <c r="AD71" s="1182"/>
      <c r="AE71" s="1183"/>
      <c r="AF71" s="24" t="s">
        <v>316</v>
      </c>
      <c r="AG71" s="1178">
        <f>W71</f>
        <v>0</v>
      </c>
      <c r="AH71" s="1178"/>
      <c r="AI71" s="1178"/>
      <c r="AJ71" s="1184"/>
      <c r="AK71" s="7"/>
      <c r="AL71" s="7"/>
    </row>
    <row r="72" spans="2:43" ht="10.5" customHeight="1">
      <c r="B72" s="16"/>
      <c r="C72" s="7"/>
      <c r="D72" s="24"/>
      <c r="E72" s="24" t="s">
        <v>488</v>
      </c>
      <c r="F72" s="24"/>
      <c r="G72" s="24"/>
      <c r="H72" s="24"/>
      <c r="I72" s="24"/>
      <c r="J72" s="24"/>
      <c r="K72" s="24"/>
      <c r="L72" s="24"/>
      <c r="M72" s="24"/>
      <c r="N72" s="24"/>
      <c r="O72" s="21"/>
      <c r="P72" s="21"/>
      <c r="Q72" s="21"/>
      <c r="R72" s="21"/>
      <c r="S72" s="21"/>
      <c r="T72" s="24"/>
      <c r="U72" s="48"/>
      <c r="V72" s="24" t="s">
        <v>316</v>
      </c>
      <c r="W72" s="1178">
        <f>'Income Tax Ass Old'!I53</f>
        <v>0</v>
      </c>
      <c r="X72" s="1179"/>
      <c r="Y72" s="1179"/>
      <c r="Z72" s="1180"/>
      <c r="AA72" s="24" t="s">
        <v>316</v>
      </c>
      <c r="AB72" s="1181">
        <f>W72</f>
        <v>0</v>
      </c>
      <c r="AC72" s="1182"/>
      <c r="AD72" s="1182"/>
      <c r="AE72" s="1183"/>
      <c r="AF72" s="24" t="s">
        <v>316</v>
      </c>
      <c r="AG72" s="1178">
        <f>W72</f>
        <v>0</v>
      </c>
      <c r="AH72" s="1178"/>
      <c r="AI72" s="1178"/>
      <c r="AJ72" s="1184"/>
      <c r="AK72" s="7"/>
      <c r="AL72" s="7"/>
    </row>
    <row r="73" spans="2:43" ht="11.25" customHeight="1">
      <c r="B73" s="16"/>
      <c r="C73" s="7"/>
      <c r="D73" s="24"/>
      <c r="E73" s="24" t="s">
        <v>489</v>
      </c>
      <c r="F73" s="24"/>
      <c r="G73" s="24"/>
      <c r="H73" s="24"/>
      <c r="I73" s="24"/>
      <c r="J73" s="24"/>
      <c r="K73" s="24"/>
      <c r="L73" s="24"/>
      <c r="M73" s="24"/>
      <c r="N73" s="24"/>
      <c r="O73" s="21"/>
      <c r="P73" s="21"/>
      <c r="Q73" s="21"/>
      <c r="R73" s="21"/>
      <c r="S73" s="21"/>
      <c r="T73" s="24"/>
      <c r="U73" s="48"/>
      <c r="V73" s="24" t="s">
        <v>316</v>
      </c>
      <c r="W73" s="1178">
        <f>'Income Tax Ass Old'!I54</f>
        <v>0</v>
      </c>
      <c r="X73" s="1179"/>
      <c r="Y73" s="1179"/>
      <c r="Z73" s="1180"/>
      <c r="AA73" s="24" t="s">
        <v>316</v>
      </c>
      <c r="AB73" s="1181">
        <f>W73</f>
        <v>0</v>
      </c>
      <c r="AC73" s="1182"/>
      <c r="AD73" s="1182"/>
      <c r="AE73" s="1183"/>
      <c r="AF73" s="24" t="s">
        <v>316</v>
      </c>
      <c r="AG73" s="1178">
        <f>W73</f>
        <v>0</v>
      </c>
      <c r="AH73" s="1178"/>
      <c r="AI73" s="1178"/>
      <c r="AJ73" s="1184"/>
      <c r="AK73" s="7"/>
      <c r="AL73" s="7"/>
    </row>
    <row r="74" spans="2:43" ht="12" customHeight="1">
      <c r="B74" s="16"/>
      <c r="C74" s="24" t="s">
        <v>490</v>
      </c>
      <c r="D74" s="24"/>
      <c r="E74" s="24"/>
      <c r="F74" s="24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48"/>
      <c r="V74" s="24"/>
      <c r="W74" s="24"/>
      <c r="X74" s="24"/>
      <c r="Y74" s="24"/>
      <c r="Z74" s="48"/>
      <c r="AA74" s="24"/>
      <c r="AB74" s="24"/>
      <c r="AC74" s="24"/>
      <c r="AD74" s="24"/>
      <c r="AE74" s="48"/>
      <c r="AF74" s="24" t="s">
        <v>316</v>
      </c>
      <c r="AG74" s="1171">
        <f>AG63+AG65+AG69+AG70+AG71+AG72</f>
        <v>158896</v>
      </c>
      <c r="AH74" s="1172"/>
      <c r="AI74" s="1172"/>
      <c r="AJ74" s="1173"/>
      <c r="AK74" s="7"/>
      <c r="AL74" s="7"/>
    </row>
    <row r="75" spans="2:43" ht="13.5" customHeight="1">
      <c r="B75" s="16"/>
      <c r="C75" s="24" t="s">
        <v>491</v>
      </c>
      <c r="D75" s="24"/>
      <c r="E75" s="24"/>
      <c r="F75" s="24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48"/>
      <c r="V75" s="24"/>
      <c r="W75" s="24"/>
      <c r="X75" s="24"/>
      <c r="Y75" s="24"/>
      <c r="Z75" s="48"/>
      <c r="AA75" s="24"/>
      <c r="AB75" s="24"/>
      <c r="AC75" s="24"/>
      <c r="AD75" s="24"/>
      <c r="AE75" s="48"/>
      <c r="AF75" s="24" t="s">
        <v>316</v>
      </c>
      <c r="AG75" s="1174">
        <f>AG50-AG74</f>
        <v>578778</v>
      </c>
      <c r="AH75" s="1175"/>
      <c r="AI75" s="1175"/>
      <c r="AJ75" s="1176"/>
      <c r="AK75" s="7"/>
      <c r="AL75" s="7"/>
    </row>
    <row r="76" spans="2:43" ht="12.75" customHeight="1">
      <c r="B76" s="16"/>
      <c r="C76" s="24" t="s">
        <v>492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48"/>
      <c r="V76" s="24"/>
      <c r="W76" s="24"/>
      <c r="X76" s="24"/>
      <c r="Y76" s="24"/>
      <c r="Z76" s="48"/>
      <c r="AA76" s="24"/>
      <c r="AB76" s="24"/>
      <c r="AC76" s="24"/>
      <c r="AD76" s="24"/>
      <c r="AE76" s="48"/>
      <c r="AF76" s="24" t="s">
        <v>316</v>
      </c>
      <c r="AG76" s="1174">
        <f>'Income Tax Ass Old'!I58</f>
        <v>578778</v>
      </c>
      <c r="AH76" s="1174"/>
      <c r="AI76" s="1174"/>
      <c r="AJ76" s="1177"/>
      <c r="AK76" s="7"/>
      <c r="AL76" s="7"/>
    </row>
    <row r="77" spans="2:43" ht="12" customHeight="1">
      <c r="B77" s="16"/>
      <c r="C77" s="24" t="s">
        <v>493</v>
      </c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48"/>
      <c r="V77" s="24"/>
      <c r="W77" s="24"/>
      <c r="X77" s="24"/>
      <c r="Y77" s="24"/>
      <c r="Z77" s="48"/>
      <c r="AA77" s="24"/>
      <c r="AB77" s="24"/>
      <c r="AC77" s="24"/>
      <c r="AD77" s="24"/>
      <c r="AE77" s="48"/>
      <c r="AF77" s="24"/>
      <c r="AG77" s="1174">
        <v>0</v>
      </c>
      <c r="AH77" s="1174"/>
      <c r="AI77" s="1174"/>
      <c r="AJ77" s="1177"/>
      <c r="AK77" s="7"/>
      <c r="AL77" s="7"/>
    </row>
    <row r="78" spans="2:43" ht="11.25" customHeight="1">
      <c r="B78" s="16"/>
      <c r="C78" s="24" t="s">
        <v>494</v>
      </c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48"/>
      <c r="V78" s="24"/>
      <c r="W78" s="24"/>
      <c r="X78" s="24"/>
      <c r="Y78" s="24"/>
      <c r="Z78" s="48"/>
      <c r="AA78" s="24"/>
      <c r="AB78" s="24"/>
      <c r="AC78" s="24"/>
      <c r="AD78" s="24"/>
      <c r="AE78" s="48"/>
      <c r="AF78" s="24"/>
      <c r="AG78" s="1174">
        <f>'Income Tax Ass Old'!I61</f>
        <v>28255.599999999999</v>
      </c>
      <c r="AH78" s="1174"/>
      <c r="AI78" s="1174"/>
      <c r="AJ78" s="1177"/>
      <c r="AK78" s="7"/>
      <c r="AL78" s="7"/>
    </row>
    <row r="79" spans="2:43" ht="12" customHeight="1">
      <c r="B79" s="16"/>
      <c r="C79" s="24" t="s">
        <v>495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48"/>
      <c r="V79" s="24"/>
      <c r="W79" s="24"/>
      <c r="X79" s="24"/>
      <c r="Y79" s="24"/>
      <c r="Z79" s="48"/>
      <c r="AA79" s="24"/>
      <c r="AB79" s="24"/>
      <c r="AC79" s="24"/>
      <c r="AD79" s="24"/>
      <c r="AE79" s="48"/>
      <c r="AF79" s="24" t="s">
        <v>316</v>
      </c>
      <c r="AG79" s="1174">
        <f>'Income Tax Ass Old'!I65</f>
        <v>1130.2239999999999</v>
      </c>
      <c r="AH79" s="1174"/>
      <c r="AI79" s="1174"/>
      <c r="AJ79" s="1177"/>
      <c r="AK79" s="7"/>
      <c r="AL79" s="7"/>
    </row>
    <row r="80" spans="2:43" ht="11.25" customHeight="1">
      <c r="B80" s="16"/>
      <c r="C80" s="24" t="s">
        <v>496</v>
      </c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48"/>
      <c r="V80" s="24"/>
      <c r="W80" s="24"/>
      <c r="X80" s="24"/>
      <c r="Y80" s="24"/>
      <c r="Z80" s="48"/>
      <c r="AA80" s="24"/>
      <c r="AB80" s="24"/>
      <c r="AC80" s="24"/>
      <c r="AD80" s="24"/>
      <c r="AE80" s="48"/>
      <c r="AF80" s="24" t="s">
        <v>316</v>
      </c>
      <c r="AG80" s="1174">
        <f>AG78+AG79</f>
        <v>29385.823999999997</v>
      </c>
      <c r="AH80" s="1174"/>
      <c r="AI80" s="1174"/>
      <c r="AJ80" s="1177"/>
      <c r="AK80" s="7"/>
      <c r="AL80" s="7"/>
    </row>
    <row r="81" spans="2:74" ht="12.75" customHeight="1">
      <c r="B81" s="16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48"/>
      <c r="V81" s="24"/>
      <c r="W81" s="24"/>
      <c r="X81" s="24"/>
      <c r="Y81" s="24"/>
      <c r="Z81" s="48"/>
      <c r="AA81" s="45" t="s">
        <v>497</v>
      </c>
      <c r="AB81" s="131"/>
      <c r="AC81" s="24"/>
      <c r="AD81" s="24"/>
      <c r="AE81" s="48"/>
      <c r="AF81" s="24" t="s">
        <v>316</v>
      </c>
      <c r="AG81" s="1174">
        <f>'Income Tax Ass Old'!I69</f>
        <v>29390</v>
      </c>
      <c r="AH81" s="1174"/>
      <c r="AI81" s="1174"/>
      <c r="AJ81" s="1177"/>
      <c r="AK81" s="7"/>
      <c r="AL81" s="7"/>
    </row>
    <row r="82" spans="2:74" ht="13.5" customHeight="1">
      <c r="B82" s="16"/>
      <c r="C82" s="24" t="s">
        <v>498</v>
      </c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48"/>
      <c r="V82" s="24"/>
      <c r="W82" s="24"/>
      <c r="X82" s="24"/>
      <c r="Y82" s="24"/>
      <c r="Z82" s="48"/>
      <c r="AA82" s="24"/>
      <c r="AB82" s="24"/>
      <c r="AC82" s="24"/>
      <c r="AD82" s="24"/>
      <c r="AE82" s="48"/>
      <c r="AF82" s="24" t="s">
        <v>316</v>
      </c>
      <c r="AG82" s="1174">
        <v>0</v>
      </c>
      <c r="AH82" s="1174"/>
      <c r="AI82" s="1174"/>
      <c r="AJ82" s="1177"/>
      <c r="AK82" s="7"/>
      <c r="AL82" s="7"/>
    </row>
    <row r="83" spans="2:74" ht="13.5" customHeight="1">
      <c r="B83" s="16"/>
      <c r="C83" s="47">
        <v>18</v>
      </c>
      <c r="D83" s="24" t="s">
        <v>499</v>
      </c>
      <c r="E83" s="24" t="s">
        <v>500</v>
      </c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48"/>
      <c r="V83" s="24"/>
      <c r="W83" s="24"/>
      <c r="X83" s="24"/>
      <c r="Y83" s="24"/>
      <c r="Z83" s="48"/>
      <c r="AA83" s="24"/>
      <c r="AB83" s="24"/>
      <c r="AC83" s="24"/>
      <c r="AD83" s="24"/>
      <c r="AE83" s="48"/>
      <c r="AF83" s="24" t="s">
        <v>316</v>
      </c>
      <c r="AG83" s="1162">
        <f>+'Income Tax Ass Old'!I70</f>
        <v>22000</v>
      </c>
      <c r="AH83" s="1162"/>
      <c r="AI83" s="1162"/>
      <c r="AJ83" s="1163"/>
      <c r="AK83" s="7"/>
      <c r="AL83" s="7"/>
    </row>
    <row r="84" spans="2:74" ht="13.5" customHeight="1">
      <c r="B84" s="16"/>
      <c r="C84" s="116" t="s">
        <v>501</v>
      </c>
      <c r="D84" s="117"/>
      <c r="E84" s="117"/>
      <c r="F84" s="117"/>
      <c r="G84" s="1164" t="s">
        <v>502</v>
      </c>
      <c r="H84" s="1164"/>
      <c r="I84" s="1164"/>
      <c r="J84" s="1164"/>
      <c r="K84" s="117"/>
      <c r="L84" s="117"/>
      <c r="M84" s="117"/>
      <c r="N84" s="117"/>
      <c r="O84" s="117"/>
      <c r="P84" s="117"/>
      <c r="Q84" s="117"/>
      <c r="R84" s="117"/>
      <c r="S84" s="117"/>
      <c r="T84" s="117"/>
      <c r="U84" s="129"/>
      <c r="V84" s="117"/>
      <c r="W84" s="117"/>
      <c r="X84" s="117"/>
      <c r="Y84" s="117"/>
      <c r="Z84" s="129"/>
      <c r="AA84" s="117"/>
      <c r="AB84" s="117"/>
      <c r="AC84" s="117"/>
      <c r="AD84" s="117"/>
      <c r="AE84" s="129"/>
      <c r="AF84" s="116" t="s">
        <v>316</v>
      </c>
      <c r="AG84" s="1165">
        <f>+AG81-AG82-AG83</f>
        <v>7390</v>
      </c>
      <c r="AH84" s="1166"/>
      <c r="AI84" s="1166"/>
      <c r="AJ84" s="1167"/>
      <c r="AK84" s="7"/>
      <c r="AL84" s="7"/>
    </row>
    <row r="85" spans="2:74" ht="12.75" customHeight="1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45" t="s">
        <v>503</v>
      </c>
      <c r="AJ85" s="24"/>
      <c r="AK85" s="24"/>
      <c r="AL85" s="7"/>
    </row>
    <row r="86" spans="2:74" ht="12.75" customHeight="1">
      <c r="B86" s="52" t="s">
        <v>504</v>
      </c>
      <c r="C86" s="52"/>
      <c r="D86" s="52"/>
      <c r="E86" s="52"/>
      <c r="F86" s="75"/>
      <c r="G86" s="75"/>
      <c r="H86" s="1168">
        <f>'Personal Information'!$C$29</f>
        <v>0</v>
      </c>
      <c r="I86" s="1168"/>
      <c r="J86" s="1168"/>
      <c r="K86" s="1168"/>
      <c r="L86" s="1168"/>
      <c r="M86" s="1168"/>
      <c r="N86" s="1168"/>
      <c r="O86" s="1168"/>
      <c r="P86" s="1168"/>
      <c r="Q86" s="69"/>
      <c r="R86" s="69"/>
      <c r="S86" s="69"/>
      <c r="T86" s="75" t="s">
        <v>505</v>
      </c>
      <c r="U86" s="75"/>
      <c r="V86" s="75"/>
      <c r="W86" s="75"/>
      <c r="X86" s="1168">
        <f>'Personal Information'!$C$32</f>
        <v>0</v>
      </c>
      <c r="Y86" s="1168"/>
      <c r="Z86" s="1168"/>
      <c r="AA86" s="1168"/>
      <c r="AB86" s="1168"/>
      <c r="AC86" s="1168"/>
      <c r="AD86" s="1168"/>
      <c r="AE86" s="1168"/>
      <c r="AF86" s="1168"/>
      <c r="AG86" s="1168"/>
      <c r="AH86" s="1168"/>
      <c r="AI86" s="1168"/>
      <c r="AJ86" s="75"/>
      <c r="AK86" s="75"/>
      <c r="AL86" s="7"/>
    </row>
    <row r="87" spans="2:74" ht="11.25" customHeight="1">
      <c r="B87" s="75" t="s">
        <v>506</v>
      </c>
      <c r="C87" s="75"/>
      <c r="D87" s="75"/>
      <c r="E87" s="75"/>
      <c r="F87" s="75"/>
      <c r="G87" s="75"/>
      <c r="H87" s="75"/>
      <c r="I87" s="75"/>
      <c r="J87" s="75"/>
      <c r="K87" s="1168">
        <f>'Personal Information'!$C$33</f>
        <v>0</v>
      </c>
      <c r="L87" s="1168"/>
      <c r="M87" s="1168"/>
      <c r="N87" s="1168"/>
      <c r="O87" s="1168"/>
      <c r="P87" s="1168"/>
      <c r="Q87" s="1168"/>
      <c r="R87" s="1168"/>
      <c r="S87" s="1168"/>
      <c r="T87" s="1168"/>
      <c r="U87" s="75" t="s">
        <v>507</v>
      </c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"/>
    </row>
    <row r="88" spans="2:74" ht="12" customHeight="1">
      <c r="B88" s="75" t="s">
        <v>508</v>
      </c>
      <c r="C88" s="75"/>
      <c r="D88" s="1169">
        <f>+AG81</f>
        <v>29390</v>
      </c>
      <c r="E88" s="1169"/>
      <c r="F88" s="1169"/>
      <c r="G88" s="1169"/>
      <c r="H88" s="1169"/>
      <c r="I88" s="75"/>
      <c r="J88" s="75"/>
      <c r="K88" s="75"/>
      <c r="L88" s="75"/>
      <c r="M88" s="1170"/>
      <c r="N88" s="1170"/>
      <c r="O88" s="1170"/>
      <c r="P88" s="1170"/>
      <c r="Q88" s="1170"/>
      <c r="R88" s="1170"/>
      <c r="S88" s="1170"/>
      <c r="T88" s="1170"/>
      <c r="U88" s="1170"/>
      <c r="V88" s="1170"/>
      <c r="W88" s="1170"/>
      <c r="X88" s="1170"/>
      <c r="Y88" s="1170"/>
      <c r="Z88" s="1170"/>
      <c r="AA88" s="1170"/>
      <c r="AB88" s="1170"/>
      <c r="AC88" s="1170"/>
      <c r="AD88" s="75"/>
      <c r="AE88" s="75"/>
      <c r="AF88" s="75" t="s">
        <v>509</v>
      </c>
      <c r="AG88" s="75"/>
      <c r="AH88" s="75"/>
      <c r="AI88" s="75"/>
      <c r="AJ88" s="75"/>
      <c r="AK88" s="75"/>
      <c r="AL88" s="75"/>
      <c r="AM88" s="69"/>
      <c r="AN88" s="69"/>
      <c r="AO88" s="69"/>
      <c r="AP88" s="69"/>
      <c r="AQ88" s="69"/>
      <c r="AR88" s="69"/>
      <c r="AS88" s="69"/>
      <c r="AT88" s="69"/>
      <c r="AU88" s="69"/>
      <c r="AV88" s="69"/>
    </row>
    <row r="89" spans="2:74" ht="12" customHeight="1">
      <c r="B89" s="75" t="s">
        <v>510</v>
      </c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BV89" s="7"/>
    </row>
    <row r="90" spans="2:74" ht="12.75" customHeight="1">
      <c r="B90" s="75" t="s">
        <v>511</v>
      </c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BV90" s="7"/>
    </row>
    <row r="91" spans="2:74" ht="17.100000000000001" customHeight="1">
      <c r="B91" s="75" t="s">
        <v>512</v>
      </c>
      <c r="C91" s="75"/>
      <c r="D91" s="75"/>
      <c r="E91" s="75"/>
      <c r="F91" s="75">
        <f>'Personal Information'!$C$35</f>
        <v>0</v>
      </c>
      <c r="G91" s="75"/>
      <c r="H91" s="75"/>
      <c r="I91" s="75"/>
      <c r="J91" s="75"/>
      <c r="K91" s="75"/>
      <c r="L91" s="75"/>
      <c r="M91" s="75" t="s">
        <v>513</v>
      </c>
      <c r="N91" s="75"/>
      <c r="O91" s="123" t="str">
        <f>'Personal Information'!$C$36</f>
        <v>31-05-2024</v>
      </c>
      <c r="P91" s="75"/>
      <c r="Q91" s="75"/>
      <c r="R91" s="75"/>
      <c r="S91" s="75"/>
      <c r="T91" s="75" t="s">
        <v>514</v>
      </c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69"/>
      <c r="AN91" s="69"/>
      <c r="AO91" s="69"/>
      <c r="AP91" s="69"/>
      <c r="AQ91" s="69"/>
      <c r="AR91" s="69"/>
      <c r="AS91" s="69"/>
      <c r="AT91" s="69"/>
      <c r="AU91" s="69"/>
      <c r="AV91" s="69"/>
    </row>
    <row r="92" spans="2:74" ht="17.100000000000001" customHeight="1">
      <c r="B92" s="75" t="s">
        <v>311</v>
      </c>
      <c r="C92" s="75"/>
      <c r="D92" s="75"/>
      <c r="E92" s="75"/>
      <c r="F92" s="1170">
        <f>'Personal Information'!$C$33</f>
        <v>0</v>
      </c>
      <c r="G92" s="1170"/>
      <c r="H92" s="1170"/>
      <c r="I92" s="1170"/>
      <c r="J92" s="1170"/>
      <c r="K92" s="1170"/>
      <c r="L92" s="75"/>
      <c r="M92" s="75"/>
      <c r="N92" s="75"/>
      <c r="O92" s="75"/>
      <c r="P92" s="75"/>
      <c r="Q92" s="75"/>
      <c r="R92" s="75"/>
      <c r="S92" s="75"/>
      <c r="T92" s="75" t="s">
        <v>515</v>
      </c>
      <c r="U92" s="75"/>
      <c r="V92" s="75"/>
      <c r="W92" s="75"/>
      <c r="X92" s="69"/>
      <c r="Y92" s="1170">
        <f>'Personal Information'!$C$29</f>
        <v>0</v>
      </c>
      <c r="Z92" s="1170"/>
      <c r="AA92" s="1170"/>
      <c r="AB92" s="1170"/>
      <c r="AC92" s="1170"/>
      <c r="AD92" s="1170"/>
      <c r="AE92" s="1170"/>
      <c r="AF92" s="75"/>
      <c r="AG92" s="75"/>
      <c r="AH92" s="75"/>
      <c r="AI92" s="75"/>
      <c r="AJ92" s="75"/>
      <c r="AK92" s="75"/>
      <c r="AL92" s="75"/>
      <c r="AM92" s="69"/>
      <c r="AN92" s="69"/>
      <c r="AO92" s="69"/>
      <c r="AP92" s="69"/>
      <c r="AQ92" s="69"/>
      <c r="AR92" s="69"/>
      <c r="AS92" s="69"/>
      <c r="AT92" s="69"/>
      <c r="AU92" s="69"/>
      <c r="AV92" s="69"/>
    </row>
    <row r="93" spans="2:74" ht="17.100000000000001" customHeight="1">
      <c r="B93" s="221" t="s">
        <v>516</v>
      </c>
      <c r="C93" s="221"/>
      <c r="D93" s="221"/>
      <c r="E93" s="221"/>
      <c r="F93" s="221"/>
      <c r="G93" s="221"/>
      <c r="H93" s="221"/>
      <c r="I93" s="221"/>
      <c r="J93" s="221"/>
      <c r="K93" s="221"/>
      <c r="L93" s="221"/>
      <c r="M93" s="221"/>
      <c r="N93" s="221"/>
      <c r="O93" s="221"/>
      <c r="P93" s="221"/>
      <c r="Q93" s="221"/>
      <c r="R93" s="221"/>
      <c r="S93" s="221"/>
      <c r="T93" s="221"/>
      <c r="U93" s="221"/>
      <c r="V93" s="221"/>
      <c r="W93" s="221"/>
      <c r="X93" s="221"/>
      <c r="Y93" s="221"/>
      <c r="Z93" s="221"/>
      <c r="AA93" s="221"/>
      <c r="AB93" s="221"/>
      <c r="AC93" s="221"/>
      <c r="AD93" s="221"/>
      <c r="AE93" s="221"/>
      <c r="AF93" s="221"/>
      <c r="AG93" s="221"/>
      <c r="AH93" s="221"/>
      <c r="AI93" s="221"/>
      <c r="AJ93" s="221"/>
      <c r="AK93" s="221"/>
      <c r="AL93" s="75"/>
      <c r="AM93" s="69"/>
      <c r="AN93" s="69"/>
      <c r="AO93" s="69"/>
      <c r="AP93" s="69"/>
      <c r="AQ93" s="69"/>
      <c r="AR93" s="69"/>
      <c r="AS93" s="69"/>
      <c r="AT93" s="69"/>
      <c r="AU93" s="69"/>
      <c r="AV93" s="69"/>
    </row>
    <row r="94" spans="2:74" ht="17.100000000000001" customHeight="1">
      <c r="B94" s="221" t="s">
        <v>517</v>
      </c>
      <c r="C94" s="221"/>
      <c r="D94" s="221"/>
      <c r="E94" s="221"/>
      <c r="F94" s="221"/>
      <c r="G94" s="221"/>
      <c r="H94" s="221"/>
      <c r="I94" s="221"/>
      <c r="J94" s="221"/>
      <c r="K94" s="221"/>
      <c r="L94" s="221"/>
      <c r="M94" s="221"/>
      <c r="N94" s="221"/>
      <c r="O94" s="221"/>
      <c r="P94" s="221"/>
      <c r="Q94" s="221"/>
      <c r="R94" s="221"/>
      <c r="S94" s="221"/>
      <c r="T94" s="221"/>
      <c r="U94" s="221"/>
      <c r="V94" s="221"/>
      <c r="W94" s="221"/>
      <c r="X94" s="221"/>
      <c r="Y94" s="221"/>
      <c r="Z94" s="221"/>
      <c r="AA94" s="221"/>
      <c r="AB94" s="221"/>
      <c r="AC94" s="221"/>
      <c r="AD94" s="221"/>
      <c r="AE94" s="221"/>
      <c r="AF94" s="221"/>
      <c r="AG94" s="221"/>
      <c r="AH94" s="221"/>
      <c r="AI94" s="221"/>
      <c r="AJ94" s="221"/>
      <c r="AK94" s="221"/>
      <c r="AL94" s="75"/>
      <c r="AM94" s="69"/>
      <c r="AN94" s="69"/>
      <c r="AO94" s="69"/>
      <c r="AP94" s="69"/>
      <c r="AQ94" s="69"/>
      <c r="AR94" s="69"/>
      <c r="AS94" s="69"/>
      <c r="AT94" s="69"/>
      <c r="AU94" s="69"/>
      <c r="AV94" s="69"/>
    </row>
    <row r="95" spans="2:74" ht="17.100000000000001" customHeight="1">
      <c r="B95" s="221" t="s">
        <v>518</v>
      </c>
      <c r="C95" s="221"/>
      <c r="D95" s="221"/>
      <c r="E95" s="221"/>
      <c r="F95" s="221"/>
      <c r="G95" s="221"/>
      <c r="H95" s="221"/>
      <c r="I95" s="221"/>
      <c r="J95" s="221"/>
      <c r="K95" s="221"/>
      <c r="L95" s="221"/>
      <c r="M95" s="221"/>
      <c r="N95" s="221"/>
      <c r="O95" s="221"/>
      <c r="P95" s="221"/>
      <c r="Q95" s="221"/>
      <c r="R95" s="221"/>
      <c r="S95" s="221"/>
      <c r="T95" s="221"/>
      <c r="U95" s="221"/>
      <c r="V95" s="221"/>
      <c r="W95" s="221"/>
      <c r="X95" s="221"/>
      <c r="Y95" s="221"/>
      <c r="Z95" s="221"/>
      <c r="AA95" s="221"/>
      <c r="AB95" s="221"/>
      <c r="AC95" s="221"/>
      <c r="AD95" s="221"/>
      <c r="AE95" s="221"/>
      <c r="AF95" s="221"/>
      <c r="AG95" s="221"/>
      <c r="AH95" s="221"/>
      <c r="AI95" s="221"/>
      <c r="AJ95" s="221"/>
      <c r="AK95" s="221"/>
      <c r="AL95" s="75"/>
      <c r="AM95" s="69"/>
      <c r="AN95" s="69"/>
      <c r="AO95" s="69"/>
      <c r="AP95" s="69"/>
      <c r="AQ95" s="69"/>
      <c r="AR95" s="69"/>
      <c r="AS95" s="69"/>
      <c r="AT95" s="69"/>
      <c r="AU95" s="69"/>
      <c r="AV95" s="69"/>
    </row>
    <row r="96" spans="2:74" ht="17.100000000000001" customHeight="1">
      <c r="B96" s="221" t="s">
        <v>519</v>
      </c>
      <c r="C96" s="221"/>
      <c r="D96" s="221"/>
      <c r="E96" s="221"/>
      <c r="F96" s="221"/>
      <c r="G96" s="221"/>
      <c r="H96" s="221"/>
      <c r="I96" s="221"/>
      <c r="J96" s="221"/>
      <c r="K96" s="221"/>
      <c r="L96" s="221"/>
      <c r="M96" s="221"/>
      <c r="N96" s="221"/>
      <c r="O96" s="221"/>
      <c r="P96" s="221"/>
      <c r="Q96" s="221"/>
      <c r="R96" s="221"/>
      <c r="S96" s="221"/>
      <c r="T96" s="221"/>
      <c r="U96" s="221"/>
      <c r="V96" s="221"/>
      <c r="W96" s="221"/>
      <c r="X96" s="221"/>
      <c r="Y96" s="221"/>
      <c r="Z96" s="221"/>
      <c r="AA96" s="221"/>
      <c r="AB96" s="221"/>
      <c r="AC96" s="221"/>
      <c r="AD96" s="221"/>
      <c r="AE96" s="221"/>
      <c r="AF96" s="221"/>
      <c r="AG96" s="221"/>
      <c r="AH96" s="221"/>
      <c r="AI96" s="221"/>
      <c r="AJ96" s="221"/>
      <c r="AK96" s="221"/>
      <c r="AL96" s="75"/>
      <c r="AM96" s="69"/>
      <c r="AN96" s="69"/>
      <c r="AO96" s="69"/>
      <c r="AP96" s="69"/>
      <c r="AQ96" s="69"/>
      <c r="AR96" s="69"/>
      <c r="AS96" s="69"/>
      <c r="AT96" s="69"/>
      <c r="AU96" s="69"/>
      <c r="AV96" s="69"/>
    </row>
    <row r="97" spans="1:81" ht="17.100000000000001" customHeight="1">
      <c r="B97" s="221" t="s">
        <v>520</v>
      </c>
      <c r="C97" s="221"/>
      <c r="D97" s="221"/>
      <c r="E97" s="221"/>
      <c r="F97" s="221"/>
      <c r="G97" s="221"/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221"/>
      <c r="Y97" s="221"/>
      <c r="Z97" s="221"/>
      <c r="AA97" s="221"/>
      <c r="AB97" s="221"/>
      <c r="AC97" s="221"/>
      <c r="AD97" s="221"/>
      <c r="AE97" s="221"/>
      <c r="AF97" s="221"/>
      <c r="AG97" s="221"/>
      <c r="AH97" s="221"/>
      <c r="AI97" s="221"/>
      <c r="AJ97" s="221"/>
      <c r="AK97" s="221"/>
      <c r="AL97" s="75"/>
      <c r="AM97" s="69"/>
      <c r="AN97" s="69"/>
      <c r="AO97" s="69"/>
      <c r="AP97" s="69"/>
      <c r="AQ97" s="69"/>
      <c r="AR97" s="69"/>
      <c r="AS97" s="69"/>
      <c r="AT97" s="69"/>
      <c r="AU97" s="69"/>
      <c r="AV97" s="69"/>
    </row>
    <row r="98" spans="1:81" ht="17.100000000000001" customHeight="1">
      <c r="B98" s="221" t="s">
        <v>521</v>
      </c>
      <c r="C98" s="221"/>
      <c r="D98" s="221"/>
      <c r="E98" s="221"/>
      <c r="F98" s="221"/>
      <c r="G98" s="221"/>
      <c r="H98" s="221"/>
      <c r="I98" s="221"/>
      <c r="J98" s="221"/>
      <c r="K98" s="221"/>
      <c r="L98" s="221"/>
      <c r="M98" s="221"/>
      <c r="N98" s="221"/>
      <c r="O98" s="221"/>
      <c r="P98" s="221"/>
      <c r="Q98" s="221"/>
      <c r="R98" s="221"/>
      <c r="S98" s="221"/>
      <c r="T98" s="221"/>
      <c r="U98" s="221"/>
      <c r="V98" s="221"/>
      <c r="W98" s="221"/>
      <c r="X98" s="221"/>
      <c r="Y98" s="221"/>
      <c r="Z98" s="221"/>
      <c r="AA98" s="221"/>
      <c r="AB98" s="221"/>
      <c r="AC98" s="221"/>
      <c r="AD98" s="221"/>
      <c r="AE98" s="221"/>
      <c r="AF98" s="221"/>
      <c r="AG98" s="221"/>
      <c r="AH98" s="221"/>
      <c r="AI98" s="221"/>
      <c r="AJ98" s="221"/>
      <c r="AK98" s="221"/>
      <c r="AL98" s="75"/>
      <c r="AM98" s="69"/>
      <c r="AN98" s="69"/>
      <c r="AO98" s="69"/>
      <c r="AP98" s="69"/>
      <c r="AQ98" s="69"/>
      <c r="AR98" s="69"/>
      <c r="AS98" s="69"/>
      <c r="AT98" s="69"/>
      <c r="AU98" s="69"/>
      <c r="AV98" s="69"/>
    </row>
    <row r="99" spans="1:81" ht="17.100000000000001" customHeight="1">
      <c r="B99" s="221" t="s">
        <v>522</v>
      </c>
      <c r="C99" s="221"/>
      <c r="D99" s="221"/>
      <c r="E99" s="221"/>
      <c r="F99" s="221"/>
      <c r="G99" s="221"/>
      <c r="H99" s="221"/>
      <c r="I99" s="221"/>
      <c r="J99" s="221"/>
      <c r="K99" s="221"/>
      <c r="L99" s="221"/>
      <c r="M99" s="221"/>
      <c r="N99" s="221"/>
      <c r="O99" s="221"/>
      <c r="P99" s="221"/>
      <c r="Q99" s="221"/>
      <c r="R99" s="221"/>
      <c r="S99" s="221"/>
      <c r="T99" s="221"/>
      <c r="U99" s="221"/>
      <c r="V99" s="221"/>
      <c r="W99" s="221"/>
      <c r="X99" s="221"/>
      <c r="Y99" s="221"/>
      <c r="Z99" s="221"/>
      <c r="AA99" s="221"/>
      <c r="AB99" s="221"/>
      <c r="AC99" s="221"/>
      <c r="AD99" s="221"/>
      <c r="AE99" s="221"/>
      <c r="AF99" s="221"/>
      <c r="AG99" s="221"/>
      <c r="AH99" s="221"/>
      <c r="AI99" s="221"/>
      <c r="AJ99" s="221"/>
      <c r="AK99" s="221"/>
      <c r="AL99" s="75"/>
      <c r="AM99" s="69"/>
      <c r="AN99" s="69"/>
      <c r="AO99" s="69"/>
      <c r="AP99" s="69"/>
      <c r="AQ99" s="69"/>
      <c r="AR99" s="69"/>
      <c r="AS99" s="69"/>
      <c r="AT99" s="69"/>
      <c r="AU99" s="69"/>
      <c r="AV99" s="69"/>
    </row>
    <row r="100" spans="1:81" ht="17.100000000000001" customHeight="1"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124" t="s">
        <v>523</v>
      </c>
      <c r="P100" s="124"/>
      <c r="Q100" s="124"/>
      <c r="R100" s="124"/>
      <c r="S100" s="124"/>
      <c r="T100" s="124"/>
      <c r="U100" s="130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5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</row>
    <row r="101" spans="1:81" ht="17.100000000000001" customHeight="1">
      <c r="B101" s="1161" t="s">
        <v>524</v>
      </c>
      <c r="C101" s="1161"/>
      <c r="D101" s="1161"/>
      <c r="E101" s="1161"/>
      <c r="F101" s="1161"/>
      <c r="G101" s="1161"/>
      <c r="H101" s="1161"/>
      <c r="I101" s="1161"/>
      <c r="J101" s="1161"/>
      <c r="K101" s="1161"/>
      <c r="L101" s="1161"/>
      <c r="M101" s="1161"/>
      <c r="N101" s="1161"/>
      <c r="O101" s="1161"/>
      <c r="P101" s="1161"/>
      <c r="Q101" s="1161"/>
      <c r="R101" s="1161"/>
      <c r="S101" s="1161"/>
      <c r="T101" s="1161"/>
      <c r="U101" s="1161"/>
      <c r="V101" s="1161"/>
      <c r="W101" s="1161"/>
      <c r="X101" s="1161"/>
      <c r="Y101" s="1161"/>
      <c r="Z101" s="1161"/>
      <c r="AA101" s="1161"/>
      <c r="AB101" s="1161"/>
      <c r="AC101" s="1161"/>
      <c r="AD101" s="1161"/>
      <c r="AE101" s="1161"/>
      <c r="AF101" s="1161"/>
      <c r="AG101" s="1161"/>
      <c r="AH101" s="1161"/>
      <c r="AI101" s="1161"/>
      <c r="AJ101" s="1161"/>
      <c r="AK101" s="1161"/>
      <c r="AL101" s="75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</row>
    <row r="102" spans="1:81" ht="14.25" customHeight="1">
      <c r="B102" s="15" t="s">
        <v>525</v>
      </c>
      <c r="C102" s="118"/>
      <c r="D102" s="118"/>
      <c r="E102" s="118"/>
      <c r="F102" s="118"/>
      <c r="G102" s="118"/>
      <c r="H102" s="118"/>
      <c r="I102" s="118"/>
      <c r="J102" s="118"/>
      <c r="K102" s="118"/>
      <c r="L102" s="118"/>
      <c r="M102" s="118"/>
      <c r="N102" s="118"/>
      <c r="O102" s="118"/>
      <c r="P102" s="118"/>
      <c r="Q102" s="118"/>
      <c r="R102" s="118"/>
      <c r="S102" s="118"/>
      <c r="T102" s="118"/>
      <c r="U102" s="118"/>
      <c r="V102" s="118"/>
      <c r="W102" s="118"/>
      <c r="X102" s="118"/>
      <c r="Y102" s="118"/>
      <c r="Z102" s="118"/>
      <c r="AA102" s="118"/>
      <c r="AB102" s="118"/>
      <c r="AC102" s="118"/>
      <c r="AD102" s="118"/>
      <c r="AE102" s="118"/>
      <c r="AF102" s="118"/>
      <c r="AG102" s="118"/>
      <c r="AH102" s="118"/>
      <c r="AI102" s="118"/>
      <c r="AJ102" s="118"/>
      <c r="AK102" s="118"/>
      <c r="AL102" s="7"/>
    </row>
    <row r="103" spans="1:81" ht="17.100000000000001" customHeight="1">
      <c r="B103" s="39"/>
      <c r="C103" s="41"/>
      <c r="D103" s="41"/>
      <c r="E103" s="41"/>
      <c r="F103" s="41"/>
      <c r="G103" s="41"/>
      <c r="H103" s="41"/>
      <c r="J103" s="125"/>
      <c r="K103" s="31"/>
      <c r="L103" s="31"/>
      <c r="M103" s="31"/>
      <c r="N103" s="31" t="s">
        <v>526</v>
      </c>
      <c r="O103" s="31"/>
      <c r="P103" s="31"/>
      <c r="Q103" s="31"/>
      <c r="R103" s="31"/>
      <c r="S103" s="31"/>
      <c r="T103" s="31"/>
      <c r="U103" s="31"/>
      <c r="V103" s="41"/>
      <c r="W103" s="41"/>
      <c r="X103" s="41"/>
      <c r="Y103" s="41"/>
      <c r="Z103" s="41"/>
      <c r="AA103" s="41"/>
      <c r="AB103" s="41"/>
      <c r="AC103" s="31"/>
      <c r="AD103" s="31"/>
      <c r="AE103" s="31"/>
      <c r="AF103" s="31"/>
      <c r="AG103" s="31"/>
      <c r="AH103" s="31"/>
      <c r="AI103" s="31"/>
      <c r="AJ103" s="31"/>
      <c r="AK103" s="36"/>
      <c r="AL103" s="7"/>
    </row>
    <row r="104" spans="1:81" s="6" customFormat="1" ht="12.75" customHeight="1">
      <c r="A104" s="51"/>
      <c r="B104" s="72" t="s">
        <v>527</v>
      </c>
      <c r="C104" s="32" t="s">
        <v>528</v>
      </c>
      <c r="D104"/>
      <c r="E104"/>
      <c r="F104"/>
      <c r="G104"/>
      <c r="H104"/>
      <c r="I104" s="126"/>
      <c r="J104" s="33"/>
      <c r="K104" s="32"/>
      <c r="L104" s="32" t="s">
        <v>529</v>
      </c>
      <c r="M104" s="32"/>
      <c r="N104" s="32"/>
      <c r="O104" s="32"/>
      <c r="P104" s="32"/>
      <c r="Q104" s="32"/>
      <c r="R104" s="32"/>
      <c r="S104" s="33"/>
      <c r="T104"/>
      <c r="U104" s="32" t="s">
        <v>530</v>
      </c>
      <c r="V104" s="32"/>
      <c r="W104"/>
      <c r="X104"/>
      <c r="Y104"/>
      <c r="Z104"/>
      <c r="AA104"/>
      <c r="AB104"/>
      <c r="AC104" s="125"/>
      <c r="AD104" s="32" t="s">
        <v>531</v>
      </c>
      <c r="AE104" s="32"/>
      <c r="AF104" s="32"/>
      <c r="AG104" s="32"/>
      <c r="AH104" s="32"/>
      <c r="AI104" s="32"/>
      <c r="AJ104" s="32"/>
      <c r="AK104" s="33"/>
      <c r="AL104" s="51"/>
    </row>
    <row r="105" spans="1:81" ht="12.75" customHeight="1">
      <c r="A105" s="93"/>
      <c r="B105" s="93"/>
      <c r="C105" s="32" t="s">
        <v>532</v>
      </c>
      <c r="D105" s="32"/>
      <c r="E105" s="32"/>
      <c r="F105" s="32"/>
      <c r="G105" s="32"/>
      <c r="H105" s="32"/>
      <c r="I105" s="32"/>
      <c r="J105" s="72"/>
      <c r="L105" s="32" t="s">
        <v>533</v>
      </c>
      <c r="M105" s="32"/>
      <c r="N105" s="32"/>
      <c r="O105" s="32"/>
      <c r="S105" s="93"/>
      <c r="U105" s="32" t="s">
        <v>534</v>
      </c>
      <c r="V105" s="32"/>
      <c r="AC105" s="93"/>
      <c r="AD105" s="32"/>
      <c r="AE105" s="32" t="s">
        <v>535</v>
      </c>
      <c r="AF105" s="32"/>
      <c r="AG105" s="32"/>
      <c r="AH105" s="32"/>
      <c r="AI105" s="32"/>
      <c r="AJ105" s="32"/>
      <c r="AK105" s="72"/>
      <c r="BX105" s="32"/>
      <c r="BY105" s="32"/>
      <c r="BZ105" s="32"/>
      <c r="CA105" s="32"/>
      <c r="CB105" s="32"/>
      <c r="CC105" s="32"/>
    </row>
    <row r="106" spans="1:81" ht="11.45" customHeight="1">
      <c r="A106" s="93"/>
      <c r="B106" s="38"/>
      <c r="C106" s="40"/>
      <c r="D106" s="40"/>
      <c r="E106" s="40"/>
      <c r="F106" s="40"/>
      <c r="G106" s="40"/>
      <c r="H106" s="40"/>
      <c r="I106" s="40"/>
      <c r="J106" s="38"/>
      <c r="K106" s="40"/>
      <c r="L106" s="40"/>
      <c r="M106" s="40"/>
      <c r="N106" s="40"/>
      <c r="O106" s="40"/>
      <c r="P106" s="40"/>
      <c r="Q106" s="40"/>
      <c r="R106" s="40"/>
      <c r="S106" s="38"/>
      <c r="T106" s="40"/>
      <c r="U106" s="29" t="s">
        <v>536</v>
      </c>
      <c r="V106" s="29"/>
      <c r="W106" s="40"/>
      <c r="X106" s="40"/>
      <c r="Y106" s="40"/>
      <c r="Z106" s="40"/>
      <c r="AA106" s="40"/>
      <c r="AB106" s="40"/>
      <c r="AC106" s="38"/>
      <c r="AD106" s="40"/>
      <c r="AE106" s="40"/>
      <c r="AF106" s="40"/>
      <c r="AG106" s="40"/>
      <c r="AH106" s="40"/>
      <c r="AI106" s="40"/>
      <c r="AJ106" s="40"/>
      <c r="AK106" s="38"/>
      <c r="BX106" s="32"/>
      <c r="BY106" s="32"/>
      <c r="BZ106" s="32"/>
      <c r="CA106" s="32"/>
      <c r="CB106" s="32"/>
      <c r="CC106" s="32"/>
    </row>
    <row r="107" spans="1:81" ht="10.9" customHeight="1">
      <c r="A107" s="93"/>
      <c r="B107" s="119">
        <v>1</v>
      </c>
      <c r="C107" s="35"/>
      <c r="D107" s="31"/>
      <c r="E107" s="1154">
        <f>'Salary Details'!$R$8</f>
        <v>2000</v>
      </c>
      <c r="F107" s="1154"/>
      <c r="G107" s="1154"/>
      <c r="H107" s="1154"/>
      <c r="I107" s="1154"/>
      <c r="J107" s="59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27"/>
      <c r="AK107" s="128"/>
      <c r="BX107" s="32"/>
      <c r="BY107" s="32"/>
      <c r="BZ107" s="32"/>
      <c r="CA107" s="32"/>
    </row>
    <row r="108" spans="1:81" ht="10.15" customHeight="1">
      <c r="A108" s="93"/>
      <c r="B108" s="119">
        <v>2</v>
      </c>
      <c r="C108" s="31"/>
      <c r="D108" s="31"/>
      <c r="E108" s="1154">
        <f>'Salary Details'!$R$9</f>
        <v>2000</v>
      </c>
      <c r="F108" s="1154"/>
      <c r="G108" s="1154"/>
      <c r="H108" s="1154"/>
      <c r="I108" s="1154"/>
      <c r="J108" s="59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7"/>
      <c r="AH108" s="127"/>
      <c r="AI108" s="127"/>
      <c r="AJ108" s="127"/>
      <c r="AK108" s="128"/>
    </row>
    <row r="109" spans="1:81" ht="12" customHeight="1">
      <c r="B109" s="119">
        <v>3</v>
      </c>
      <c r="C109" s="35"/>
      <c r="D109" s="31"/>
      <c r="E109" s="1154">
        <f>'Salary Details'!$R$10</f>
        <v>2000</v>
      </c>
      <c r="F109" s="1154"/>
      <c r="G109" s="1154"/>
      <c r="H109" s="1154"/>
      <c r="I109" s="1154"/>
      <c r="J109" s="59"/>
      <c r="K109" s="127"/>
      <c r="L109" s="127"/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8"/>
      <c r="AL109" s="115"/>
    </row>
    <row r="110" spans="1:81" ht="12" customHeight="1">
      <c r="B110" s="119">
        <v>4</v>
      </c>
      <c r="C110" s="35"/>
      <c r="D110" s="31"/>
      <c r="E110" s="1154">
        <f>'Salary Details'!$R$11</f>
        <v>2000</v>
      </c>
      <c r="F110" s="1154"/>
      <c r="G110" s="1154"/>
      <c r="H110" s="1154"/>
      <c r="I110" s="1154"/>
      <c r="J110" s="59"/>
      <c r="K110" s="127"/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7"/>
      <c r="AH110" s="127"/>
      <c r="AI110" s="127"/>
      <c r="AJ110" s="127"/>
      <c r="AK110" s="128"/>
      <c r="AL110" s="115"/>
    </row>
    <row r="111" spans="1:81" ht="12" customHeight="1">
      <c r="B111" s="119">
        <v>5</v>
      </c>
      <c r="C111" s="35"/>
      <c r="D111" s="31"/>
      <c r="E111" s="1154">
        <f>'Salary Details'!$R$12</f>
        <v>2000</v>
      </c>
      <c r="F111" s="1154"/>
      <c r="G111" s="1154"/>
      <c r="H111" s="1154"/>
      <c r="I111" s="1154"/>
      <c r="J111" s="59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28"/>
      <c r="AL111" s="115"/>
    </row>
    <row r="112" spans="1:81" ht="12" customHeight="1">
      <c r="B112" s="119">
        <v>6</v>
      </c>
      <c r="C112" s="35"/>
      <c r="D112" s="31"/>
      <c r="E112" s="1154">
        <f>'Salary Details'!$R$13</f>
        <v>2000</v>
      </c>
      <c r="F112" s="1154"/>
      <c r="G112" s="1154"/>
      <c r="H112" s="1154"/>
      <c r="I112" s="1154"/>
      <c r="J112" s="59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7"/>
      <c r="AH112" s="127"/>
      <c r="AI112" s="127"/>
      <c r="AJ112" s="127"/>
      <c r="AK112" s="128"/>
      <c r="AL112" s="115"/>
    </row>
    <row r="113" spans="1:38" ht="12" customHeight="1">
      <c r="B113" s="119">
        <v>7</v>
      </c>
      <c r="C113" s="35"/>
      <c r="D113" s="31"/>
      <c r="E113" s="1154">
        <f>'Salary Details'!$R$14</f>
        <v>2000</v>
      </c>
      <c r="F113" s="1154"/>
      <c r="G113" s="1154"/>
      <c r="H113" s="1154"/>
      <c r="I113" s="1154"/>
      <c r="J113" s="59"/>
      <c r="K113" s="127"/>
      <c r="L113" s="127"/>
      <c r="M113" s="127"/>
      <c r="N113" s="127"/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/>
      <c r="Z113" s="127"/>
      <c r="AA113" s="127"/>
      <c r="AB113" s="127"/>
      <c r="AC113" s="127"/>
      <c r="AD113" s="127"/>
      <c r="AE113" s="127"/>
      <c r="AF113" s="127"/>
      <c r="AG113" s="127"/>
      <c r="AH113" s="127"/>
      <c r="AI113" s="127"/>
      <c r="AJ113" s="127"/>
      <c r="AK113" s="128"/>
      <c r="AL113" s="115"/>
    </row>
    <row r="114" spans="1:38" ht="12" customHeight="1">
      <c r="B114" s="119">
        <v>8</v>
      </c>
      <c r="C114" s="35"/>
      <c r="D114" s="31"/>
      <c r="E114" s="1154">
        <f>'Salary Details'!$R$15</f>
        <v>2000</v>
      </c>
      <c r="F114" s="1154"/>
      <c r="G114" s="1154"/>
      <c r="H114" s="1154"/>
      <c r="I114" s="1154"/>
      <c r="J114" s="59"/>
      <c r="K114" s="127"/>
      <c r="L114" s="127"/>
      <c r="M114" s="127"/>
      <c r="N114" s="127"/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/>
      <c r="Z114" s="127"/>
      <c r="AA114" s="127"/>
      <c r="AB114" s="127"/>
      <c r="AC114" s="127"/>
      <c r="AD114" s="127"/>
      <c r="AE114" s="127"/>
      <c r="AF114" s="127"/>
      <c r="AG114" s="127"/>
      <c r="AH114" s="127"/>
      <c r="AI114" s="127"/>
      <c r="AJ114" s="127"/>
      <c r="AK114" s="128"/>
      <c r="AL114" s="115"/>
    </row>
    <row r="115" spans="1:38" ht="12" customHeight="1">
      <c r="B115" s="119">
        <v>9</v>
      </c>
      <c r="C115" s="35"/>
      <c r="D115" s="31"/>
      <c r="E115" s="1154">
        <f>'Salary Details'!$R$16</f>
        <v>2000</v>
      </c>
      <c r="F115" s="1154"/>
      <c r="G115" s="1154"/>
      <c r="H115" s="1154"/>
      <c r="I115" s="1154"/>
      <c r="J115" s="59"/>
      <c r="K115" s="127"/>
      <c r="L115" s="127"/>
      <c r="M115" s="127"/>
      <c r="N115" s="127"/>
      <c r="O115" s="127"/>
      <c r="P115" s="127"/>
      <c r="Q115" s="127"/>
      <c r="R115" s="127"/>
      <c r="S115" s="127"/>
      <c r="T115" s="127"/>
      <c r="U115" s="127"/>
      <c r="V115" s="127"/>
      <c r="W115" s="127"/>
      <c r="X115" s="127"/>
      <c r="Y115" s="127"/>
      <c r="Z115" s="127"/>
      <c r="AA115" s="127"/>
      <c r="AB115" s="127"/>
      <c r="AC115" s="127"/>
      <c r="AD115" s="127"/>
      <c r="AE115" s="127"/>
      <c r="AF115" s="127"/>
      <c r="AG115" s="127"/>
      <c r="AH115" s="127"/>
      <c r="AI115" s="127"/>
      <c r="AJ115" s="127"/>
      <c r="AK115" s="128"/>
      <c r="AL115" s="115"/>
    </row>
    <row r="116" spans="1:38" ht="12" customHeight="1">
      <c r="B116" s="119">
        <v>10</v>
      </c>
      <c r="C116" s="31"/>
      <c r="D116" s="31"/>
      <c r="E116" s="1154">
        <f>'Salary Details'!$R$17</f>
        <v>2000</v>
      </c>
      <c r="F116" s="1154"/>
      <c r="G116" s="1154"/>
      <c r="H116" s="1154"/>
      <c r="I116" s="1154"/>
      <c r="J116" s="59"/>
      <c r="K116" s="127"/>
      <c r="L116" s="127"/>
      <c r="M116" s="127"/>
      <c r="N116" s="127"/>
      <c r="O116" s="127"/>
      <c r="P116" s="127"/>
      <c r="Q116" s="127"/>
      <c r="R116" s="127"/>
      <c r="S116" s="127"/>
      <c r="T116" s="127"/>
      <c r="U116" s="127"/>
      <c r="V116" s="127"/>
      <c r="W116" s="127"/>
      <c r="X116" s="127"/>
      <c r="Y116" s="127"/>
      <c r="Z116" s="127"/>
      <c r="AA116" s="127"/>
      <c r="AB116" s="127"/>
      <c r="AC116" s="127"/>
      <c r="AD116" s="127"/>
      <c r="AE116" s="127"/>
      <c r="AF116" s="127"/>
      <c r="AG116" s="127"/>
      <c r="AH116" s="127"/>
      <c r="AI116" s="127"/>
      <c r="AJ116" s="127"/>
      <c r="AK116" s="128"/>
      <c r="AL116" s="136"/>
    </row>
    <row r="117" spans="1:38" ht="12" customHeight="1">
      <c r="B117" s="119">
        <v>11</v>
      </c>
      <c r="C117" s="35"/>
      <c r="D117" s="31"/>
      <c r="E117" s="1154">
        <f>'Salary Details'!$R$18</f>
        <v>2000</v>
      </c>
      <c r="F117" s="1154"/>
      <c r="G117" s="1154"/>
      <c r="H117" s="1154"/>
      <c r="I117" s="1154"/>
      <c r="J117" s="59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7"/>
      <c r="AH117" s="127"/>
      <c r="AI117" s="127"/>
      <c r="AJ117" s="127"/>
      <c r="AK117" s="128"/>
      <c r="AL117" s="136"/>
    </row>
    <row r="118" spans="1:38" ht="12" customHeight="1">
      <c r="B118" s="119">
        <v>12</v>
      </c>
      <c r="C118" s="35"/>
      <c r="D118" s="31"/>
      <c r="E118" s="1154">
        <f>'Income Tax Ass Old'!I71</f>
        <v>7390</v>
      </c>
      <c r="F118" s="1154"/>
      <c r="G118" s="1154"/>
      <c r="H118" s="1154"/>
      <c r="I118" s="1154"/>
      <c r="J118" s="59"/>
      <c r="K118" s="127"/>
      <c r="L118" s="127"/>
      <c r="M118" s="127"/>
      <c r="N118" s="127"/>
      <c r="O118" s="127"/>
      <c r="P118" s="127"/>
      <c r="Q118" s="127"/>
      <c r="R118" s="127"/>
      <c r="S118" s="127"/>
      <c r="T118" s="127"/>
      <c r="U118" s="127"/>
      <c r="V118" s="127"/>
      <c r="W118" s="127"/>
      <c r="X118" s="127"/>
      <c r="Y118" s="127"/>
      <c r="Z118" s="127"/>
      <c r="AA118" s="127"/>
      <c r="AB118" s="127"/>
      <c r="AC118" s="127"/>
      <c r="AD118" s="127"/>
      <c r="AE118" s="127"/>
      <c r="AF118" s="127"/>
      <c r="AG118" s="127"/>
      <c r="AH118" s="127"/>
      <c r="AI118" s="127"/>
      <c r="AJ118" s="127"/>
      <c r="AK118" s="128"/>
      <c r="AL118" s="136"/>
    </row>
    <row r="119" spans="1:38" ht="12" customHeight="1">
      <c r="B119" s="120">
        <v>13</v>
      </c>
      <c r="C119" s="31"/>
      <c r="D119" s="31"/>
      <c r="E119" s="1159"/>
      <c r="F119" s="1159"/>
      <c r="G119" s="1159"/>
      <c r="H119" s="1159"/>
      <c r="I119" s="1159"/>
      <c r="J119" s="58"/>
      <c r="K119" s="127"/>
      <c r="L119" s="127"/>
      <c r="M119" s="127"/>
      <c r="N119" s="127"/>
      <c r="O119" s="127"/>
      <c r="P119" s="127"/>
      <c r="Q119" s="127"/>
      <c r="R119" s="127"/>
      <c r="S119" s="127"/>
      <c r="T119" s="127"/>
      <c r="U119" s="127"/>
      <c r="V119" s="127"/>
      <c r="W119" s="127"/>
      <c r="X119" s="127"/>
      <c r="Y119" s="127"/>
      <c r="Z119" s="127"/>
      <c r="AA119" s="127"/>
      <c r="AB119" s="127"/>
      <c r="AC119" s="127"/>
      <c r="AD119" s="127"/>
      <c r="AE119" s="127"/>
      <c r="AF119" s="127"/>
      <c r="AG119" s="127"/>
      <c r="AH119" s="127"/>
      <c r="AI119" s="127"/>
      <c r="AJ119" s="127"/>
      <c r="AK119" s="222"/>
      <c r="AL119" s="115"/>
    </row>
    <row r="120" spans="1:38" ht="12" customHeight="1">
      <c r="B120" s="120"/>
      <c r="C120" s="31"/>
      <c r="D120" s="31"/>
      <c r="E120" s="1159"/>
      <c r="F120" s="1159"/>
      <c r="G120" s="1159"/>
      <c r="H120" s="1159"/>
      <c r="I120" s="1159"/>
      <c r="J120" s="58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7"/>
      <c r="AI120" s="127"/>
      <c r="AJ120" s="127"/>
      <c r="AK120" s="222"/>
      <c r="AL120" s="115"/>
    </row>
    <row r="121" spans="1:38" ht="12" customHeight="1">
      <c r="A121" s="93"/>
      <c r="B121" s="36" t="s">
        <v>166</v>
      </c>
      <c r="C121" s="31"/>
      <c r="D121" s="31"/>
      <c r="E121" s="1160">
        <f>SUM(E107:E120)</f>
        <v>29390</v>
      </c>
      <c r="F121" s="1160"/>
      <c r="G121" s="1160"/>
      <c r="H121" s="1160"/>
      <c r="I121" s="1160"/>
      <c r="J121" s="34"/>
      <c r="K121" s="128"/>
      <c r="L121" s="128"/>
      <c r="M121" s="128"/>
      <c r="N121" s="128"/>
      <c r="O121" s="128"/>
      <c r="P121" s="128"/>
      <c r="Q121" s="128"/>
      <c r="R121" s="128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28"/>
      <c r="AG121" s="128"/>
      <c r="AH121" s="128"/>
      <c r="AI121" s="128"/>
      <c r="AJ121" s="128"/>
      <c r="AK121" s="138"/>
    </row>
    <row r="122" spans="1:38" ht="12" customHeight="1">
      <c r="A122" s="93"/>
      <c r="B122" t="s">
        <v>537</v>
      </c>
    </row>
    <row r="123" spans="1:38" ht="15">
      <c r="A123" s="93"/>
      <c r="P123" s="124" t="s">
        <v>538</v>
      </c>
      <c r="Q123" s="124"/>
      <c r="R123" s="124"/>
      <c r="S123" s="124"/>
      <c r="T123" s="124"/>
      <c r="U123" s="124"/>
      <c r="V123" s="130"/>
    </row>
    <row r="124" spans="1:38" ht="15">
      <c r="B124" s="1161" t="s">
        <v>539</v>
      </c>
      <c r="C124" s="1161"/>
      <c r="D124" s="1161"/>
      <c r="E124" s="1161"/>
      <c r="F124" s="1161"/>
      <c r="G124" s="1161"/>
      <c r="H124" s="1161"/>
      <c r="I124" s="1161"/>
      <c r="J124" s="1161"/>
      <c r="K124" s="1161"/>
      <c r="L124" s="1161"/>
      <c r="M124" s="1161"/>
      <c r="N124" s="1161"/>
      <c r="O124" s="1161"/>
      <c r="P124" s="1161"/>
      <c r="Q124" s="1161"/>
      <c r="R124" s="1161"/>
      <c r="S124" s="1161"/>
      <c r="T124" s="1161"/>
      <c r="U124" s="1161"/>
      <c r="V124" s="1161"/>
      <c r="W124" s="1161"/>
      <c r="X124" s="1161"/>
      <c r="Y124" s="1161"/>
      <c r="Z124" s="1161"/>
      <c r="AA124" s="1161"/>
      <c r="AB124" s="1161"/>
      <c r="AC124" s="1161"/>
      <c r="AD124" s="1161"/>
      <c r="AE124" s="1161"/>
      <c r="AF124" s="1161"/>
      <c r="AG124" s="1161"/>
      <c r="AH124" s="1161"/>
      <c r="AI124" s="1161"/>
      <c r="AJ124" s="1161"/>
      <c r="AK124" s="1161"/>
    </row>
    <row r="125" spans="1:38">
      <c r="B125" s="118" t="s">
        <v>525</v>
      </c>
      <c r="C125" s="118"/>
      <c r="D125" s="118"/>
      <c r="E125" s="118"/>
      <c r="F125" s="118"/>
      <c r="G125" s="118"/>
      <c r="H125" s="118"/>
      <c r="I125" s="118"/>
      <c r="J125" s="118"/>
      <c r="K125" s="118"/>
      <c r="L125" s="118"/>
      <c r="M125" s="118"/>
      <c r="N125" s="118"/>
      <c r="O125" s="118"/>
      <c r="P125" s="118"/>
      <c r="Q125" s="118"/>
      <c r="R125" s="118"/>
      <c r="S125" s="118"/>
      <c r="T125" s="118"/>
      <c r="U125" s="118"/>
      <c r="V125" s="118"/>
      <c r="W125" s="118"/>
      <c r="X125" s="118"/>
      <c r="Y125" s="118"/>
      <c r="Z125" s="118"/>
      <c r="AA125" s="118"/>
      <c r="AB125" s="118"/>
      <c r="AC125" s="118"/>
      <c r="AD125" s="118"/>
      <c r="AE125" s="118"/>
      <c r="AF125" s="118"/>
      <c r="AG125" s="118"/>
      <c r="AH125" s="118"/>
      <c r="AI125" s="118"/>
      <c r="AJ125" s="118"/>
      <c r="AK125" s="118"/>
    </row>
    <row r="126" spans="1:38">
      <c r="B126" s="39"/>
      <c r="C126" s="41"/>
      <c r="D126" s="41"/>
      <c r="E126" s="41"/>
      <c r="F126" s="41"/>
      <c r="G126" s="41"/>
      <c r="H126" s="41"/>
      <c r="J126" s="125"/>
      <c r="K126" s="31"/>
      <c r="L126" s="31"/>
      <c r="M126" s="31"/>
      <c r="N126" s="31" t="s">
        <v>526</v>
      </c>
      <c r="O126" s="31"/>
      <c r="P126" s="31"/>
      <c r="Q126" s="31"/>
      <c r="R126" s="31"/>
      <c r="S126" s="31"/>
      <c r="T126" s="31"/>
      <c r="U126" s="31"/>
      <c r="V126" s="41"/>
      <c r="W126" s="41"/>
      <c r="X126" s="41"/>
      <c r="Y126" s="41"/>
      <c r="Z126" s="41"/>
      <c r="AA126" s="41"/>
      <c r="AB126" s="41"/>
      <c r="AC126" s="31"/>
      <c r="AD126" s="31"/>
      <c r="AE126" s="31"/>
      <c r="AF126" s="31"/>
      <c r="AG126" s="31"/>
      <c r="AH126" s="31"/>
      <c r="AI126" s="31"/>
      <c r="AJ126" s="31"/>
      <c r="AK126" s="36"/>
    </row>
    <row r="127" spans="1:38">
      <c r="B127" s="72" t="s">
        <v>527</v>
      </c>
      <c r="C127" s="32" t="s">
        <v>528</v>
      </c>
      <c r="I127" s="126"/>
      <c r="J127" s="33"/>
      <c r="K127" s="32"/>
      <c r="L127" s="32" t="s">
        <v>540</v>
      </c>
      <c r="M127" s="32"/>
      <c r="N127" s="32"/>
      <c r="O127" s="32"/>
      <c r="P127" s="32"/>
      <c r="Q127" s="32"/>
      <c r="R127" s="32"/>
      <c r="S127" s="33"/>
      <c r="U127" s="32" t="s">
        <v>541</v>
      </c>
      <c r="V127" s="32"/>
      <c r="W127" s="32"/>
      <c r="X127" s="32"/>
      <c r="Y127" s="32"/>
      <c r="Z127" s="32"/>
      <c r="AA127" s="33"/>
      <c r="AB127" s="132"/>
      <c r="AC127" s="133" t="s">
        <v>542</v>
      </c>
      <c r="AD127" s="32"/>
      <c r="AE127" s="32"/>
      <c r="AF127" s="32"/>
      <c r="AG127" s="32"/>
      <c r="AH127" s="32"/>
      <c r="AI127" s="32"/>
      <c r="AJ127" s="32"/>
      <c r="AK127" s="33"/>
    </row>
    <row r="128" spans="1:38">
      <c r="B128" s="93"/>
      <c r="C128" s="32" t="s">
        <v>532</v>
      </c>
      <c r="D128" s="32"/>
      <c r="E128" s="32"/>
      <c r="F128" s="32"/>
      <c r="G128" s="32"/>
      <c r="H128" s="32"/>
      <c r="I128" s="32"/>
      <c r="J128" s="72"/>
      <c r="L128" s="32"/>
      <c r="M128" s="32"/>
      <c r="N128" s="32"/>
      <c r="O128" s="32"/>
      <c r="S128" s="93"/>
      <c r="U128" s="32"/>
      <c r="V128" s="32" t="s">
        <v>535</v>
      </c>
      <c r="W128" s="32"/>
      <c r="X128" s="32"/>
      <c r="Y128" s="32"/>
      <c r="Z128" s="32"/>
      <c r="AA128" s="72"/>
      <c r="AB128" s="68"/>
      <c r="AD128" s="32"/>
      <c r="AE128" s="32"/>
      <c r="AF128" s="32"/>
      <c r="AG128" s="32"/>
      <c r="AH128" s="32"/>
      <c r="AI128" s="32"/>
      <c r="AJ128" s="32"/>
      <c r="AK128" s="72"/>
    </row>
    <row r="129" spans="2:37">
      <c r="B129" s="121"/>
      <c r="C129" s="56"/>
      <c r="D129" s="1154"/>
      <c r="E129" s="1154"/>
      <c r="F129" s="1154"/>
      <c r="G129" s="1154"/>
      <c r="H129" s="1154"/>
      <c r="I129" s="1154"/>
      <c r="J129" s="59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A129" s="121"/>
      <c r="AB129" s="121"/>
      <c r="AC129" s="121"/>
      <c r="AD129" s="121"/>
      <c r="AE129" s="121"/>
      <c r="AF129" s="121"/>
      <c r="AG129" s="121"/>
      <c r="AH129" s="121"/>
      <c r="AI129" s="121"/>
      <c r="AJ129" s="121"/>
      <c r="AK129" s="128"/>
    </row>
    <row r="130" spans="2:37">
      <c r="B130" s="121"/>
      <c r="C130" s="46"/>
      <c r="D130" s="1154"/>
      <c r="E130" s="1154"/>
      <c r="F130" s="1154"/>
      <c r="G130" s="1154"/>
      <c r="H130" s="1154"/>
      <c r="I130" s="1154"/>
      <c r="J130" s="59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8"/>
    </row>
    <row r="131" spans="2:37" ht="12" customHeight="1">
      <c r="B131" s="122"/>
      <c r="C131" s="56"/>
      <c r="D131" s="1154"/>
      <c r="E131" s="1154"/>
      <c r="F131" s="1154"/>
      <c r="G131" s="1154"/>
      <c r="H131" s="1154"/>
      <c r="I131" s="1154"/>
      <c r="J131" s="59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8"/>
    </row>
    <row r="132" spans="2:37" ht="12" customHeight="1">
      <c r="B132" s="121"/>
      <c r="C132" s="56"/>
      <c r="D132" s="1154"/>
      <c r="E132" s="1154"/>
      <c r="F132" s="1154"/>
      <c r="G132" s="1154"/>
      <c r="H132" s="1154"/>
      <c r="I132" s="1154"/>
      <c r="J132" s="59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8"/>
    </row>
    <row r="133" spans="2:37" ht="12" customHeight="1">
      <c r="B133" s="121"/>
      <c r="C133" s="56"/>
      <c r="D133" s="1154"/>
      <c r="E133" s="1154"/>
      <c r="F133" s="1154"/>
      <c r="G133" s="1154"/>
      <c r="H133" s="1154"/>
      <c r="I133" s="1154"/>
      <c r="J133" s="59"/>
      <c r="K133" s="122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8"/>
    </row>
    <row r="134" spans="2:37" ht="12" customHeight="1">
      <c r="B134" s="121"/>
      <c r="C134" s="56"/>
      <c r="D134" s="1154"/>
      <c r="E134" s="1154"/>
      <c r="F134" s="1154"/>
      <c r="G134" s="1154"/>
      <c r="H134" s="1154"/>
      <c r="I134" s="1154"/>
      <c r="J134" s="59"/>
      <c r="K134" s="121"/>
      <c r="L134" s="121"/>
      <c r="M134" s="121"/>
      <c r="N134" s="121"/>
      <c r="O134" s="121"/>
      <c r="P134" s="121"/>
      <c r="Q134" s="121"/>
      <c r="R134" s="121"/>
      <c r="S134" s="121"/>
      <c r="T134" s="121"/>
      <c r="U134" s="121"/>
      <c r="V134" s="121"/>
      <c r="W134" s="121"/>
      <c r="X134" s="121"/>
      <c r="Y134" s="121"/>
      <c r="Z134" s="121"/>
      <c r="AA134" s="121"/>
      <c r="AB134" s="121"/>
      <c r="AC134" s="121"/>
      <c r="AD134" s="121"/>
      <c r="AE134" s="121"/>
      <c r="AF134" s="121"/>
      <c r="AG134" s="121"/>
      <c r="AH134" s="121"/>
      <c r="AI134" s="121"/>
      <c r="AJ134" s="121"/>
      <c r="AK134" s="128"/>
    </row>
    <row r="135" spans="2:37" ht="12" customHeight="1">
      <c r="B135" s="121"/>
      <c r="C135" s="56"/>
      <c r="D135" s="1154"/>
      <c r="E135" s="1154"/>
      <c r="F135" s="1154"/>
      <c r="G135" s="1154"/>
      <c r="H135" s="1154"/>
      <c r="I135" s="1154"/>
      <c r="J135" s="59"/>
      <c r="K135" s="121"/>
      <c r="L135" s="121"/>
      <c r="M135" s="121"/>
      <c r="N135" s="121"/>
      <c r="O135" s="121"/>
      <c r="P135" s="121"/>
      <c r="Q135" s="121"/>
      <c r="R135" s="121"/>
      <c r="S135" s="121"/>
      <c r="T135" s="121"/>
      <c r="U135" s="121"/>
      <c r="V135" s="121"/>
      <c r="W135" s="121"/>
      <c r="X135" s="121"/>
      <c r="Y135" s="121"/>
      <c r="Z135" s="121"/>
      <c r="AA135" s="121"/>
      <c r="AB135" s="121"/>
      <c r="AC135" s="121"/>
      <c r="AD135" s="121"/>
      <c r="AE135" s="121"/>
      <c r="AF135" s="121"/>
      <c r="AG135" s="121"/>
      <c r="AH135" s="121"/>
      <c r="AI135" s="121"/>
      <c r="AJ135" s="121"/>
      <c r="AK135" s="128"/>
    </row>
    <row r="136" spans="2:37" ht="12" customHeight="1">
      <c r="B136" s="121"/>
      <c r="C136" s="56"/>
      <c r="D136" s="1154"/>
      <c r="E136" s="1154"/>
      <c r="F136" s="1154"/>
      <c r="G136" s="1154"/>
      <c r="H136" s="1154"/>
      <c r="I136" s="1154"/>
      <c r="J136" s="59"/>
      <c r="K136" s="121"/>
      <c r="L136" s="121"/>
      <c r="M136" s="121"/>
      <c r="N136" s="121"/>
      <c r="O136" s="121"/>
      <c r="P136" s="121"/>
      <c r="Q136" s="121"/>
      <c r="R136" s="121"/>
      <c r="S136" s="121"/>
      <c r="T136" s="121"/>
      <c r="U136" s="121"/>
      <c r="V136" s="121"/>
      <c r="W136" s="121"/>
      <c r="X136" s="121"/>
      <c r="Y136" s="121"/>
      <c r="Z136" s="121"/>
      <c r="AA136" s="121"/>
      <c r="AB136" s="121"/>
      <c r="AC136" s="121"/>
      <c r="AD136" s="121"/>
      <c r="AE136" s="121"/>
      <c r="AF136" s="121"/>
      <c r="AG136" s="121"/>
      <c r="AH136" s="121"/>
      <c r="AI136" s="121"/>
      <c r="AJ136" s="121"/>
      <c r="AK136" s="121"/>
    </row>
    <row r="137" spans="2:37" ht="11.25" customHeight="1">
      <c r="B137" s="121"/>
      <c r="C137" s="56"/>
      <c r="D137" s="1154"/>
      <c r="E137" s="1154"/>
      <c r="F137" s="1154"/>
      <c r="G137" s="1154"/>
      <c r="H137" s="1154"/>
      <c r="I137" s="1154"/>
      <c r="J137" s="59"/>
      <c r="K137" s="121"/>
      <c r="L137" s="121"/>
      <c r="M137" s="121"/>
      <c r="N137" s="121"/>
      <c r="O137" s="121"/>
      <c r="P137" s="121"/>
      <c r="Q137" s="121"/>
      <c r="R137" s="121"/>
      <c r="S137" s="121"/>
      <c r="T137" s="121"/>
      <c r="U137" s="121"/>
      <c r="V137" s="121"/>
      <c r="W137" s="121"/>
      <c r="X137" s="121"/>
      <c r="Y137" s="121"/>
      <c r="Z137" s="121"/>
      <c r="AA137" s="121"/>
      <c r="AB137" s="121"/>
      <c r="AC137" s="121"/>
      <c r="AD137" s="121"/>
      <c r="AE137" s="121"/>
      <c r="AF137" s="121"/>
      <c r="AG137" s="121"/>
      <c r="AH137" s="121"/>
      <c r="AI137" s="121"/>
      <c r="AJ137" s="121"/>
      <c r="AK137" s="121"/>
    </row>
    <row r="138" spans="2:37" ht="12" customHeight="1">
      <c r="B138" s="121"/>
      <c r="C138" s="46"/>
      <c r="D138" s="1154"/>
      <c r="E138" s="1154"/>
      <c r="F138" s="1154"/>
      <c r="G138" s="1154"/>
      <c r="H138" s="1154"/>
      <c r="I138" s="1154"/>
      <c r="J138" s="59"/>
      <c r="K138" s="121"/>
      <c r="L138" s="121"/>
      <c r="M138" s="121"/>
      <c r="N138" s="121"/>
      <c r="O138" s="121"/>
      <c r="P138" s="121"/>
      <c r="Q138" s="121"/>
      <c r="R138" s="121"/>
      <c r="S138" s="121"/>
      <c r="T138" s="121"/>
      <c r="U138" s="121"/>
      <c r="V138" s="121"/>
      <c r="W138" s="121"/>
      <c r="X138" s="121"/>
      <c r="Y138" s="121"/>
      <c r="Z138" s="121"/>
      <c r="AA138" s="121"/>
      <c r="AB138" s="121"/>
      <c r="AC138" s="121"/>
      <c r="AD138" s="121"/>
      <c r="AE138" s="121"/>
      <c r="AF138" s="121"/>
      <c r="AG138" s="121"/>
      <c r="AH138" s="121"/>
      <c r="AI138" s="121"/>
      <c r="AJ138" s="121"/>
      <c r="AK138" s="121"/>
    </row>
    <row r="139" spans="2:37" ht="10.5" customHeight="1">
      <c r="B139" s="122"/>
      <c r="C139" s="56"/>
      <c r="D139" s="1154"/>
      <c r="E139" s="1154"/>
      <c r="F139" s="1154"/>
      <c r="G139" s="1154"/>
      <c r="H139" s="1154"/>
      <c r="I139" s="1154"/>
      <c r="J139" s="59"/>
      <c r="K139" s="121"/>
      <c r="L139" s="121"/>
      <c r="M139" s="121"/>
      <c r="N139" s="121"/>
      <c r="O139" s="121"/>
      <c r="P139" s="121"/>
      <c r="Q139" s="121"/>
      <c r="R139" s="121"/>
      <c r="S139" s="121"/>
      <c r="T139" s="121"/>
      <c r="U139" s="121"/>
      <c r="V139" s="121"/>
      <c r="W139" s="121"/>
      <c r="X139" s="121"/>
      <c r="Y139" s="121"/>
      <c r="Z139" s="121"/>
      <c r="AA139" s="121"/>
      <c r="AB139" s="121"/>
      <c r="AC139" s="121"/>
      <c r="AD139" s="121"/>
      <c r="AE139" s="121"/>
      <c r="AF139" s="121"/>
      <c r="AG139" s="121"/>
      <c r="AH139" s="121"/>
      <c r="AI139" s="121"/>
      <c r="AJ139" s="121"/>
      <c r="AK139" s="128"/>
    </row>
    <row r="140" spans="2:37" ht="12" customHeight="1">
      <c r="B140" s="121"/>
      <c r="C140" s="56"/>
      <c r="D140" s="1154"/>
      <c r="E140" s="1154"/>
      <c r="F140" s="1154"/>
      <c r="G140" s="1154"/>
      <c r="H140" s="1154"/>
      <c r="I140" s="1154"/>
      <c r="J140" s="59"/>
      <c r="K140" s="121"/>
      <c r="L140" s="121"/>
      <c r="M140" s="121"/>
      <c r="N140" s="121"/>
      <c r="O140" s="121"/>
      <c r="P140" s="121"/>
      <c r="Q140" s="121"/>
      <c r="R140" s="121"/>
      <c r="S140" s="121"/>
      <c r="T140" s="121"/>
      <c r="U140" s="121"/>
      <c r="V140" s="121"/>
      <c r="W140" s="121"/>
      <c r="X140" s="121"/>
      <c r="Y140" s="121"/>
      <c r="Z140" s="121"/>
      <c r="AA140" s="121"/>
      <c r="AB140" s="121"/>
      <c r="AC140" s="121"/>
      <c r="AD140" s="121"/>
      <c r="AE140" s="121"/>
      <c r="AF140" s="121"/>
      <c r="AG140" s="121"/>
      <c r="AH140" s="121"/>
      <c r="AI140" s="121"/>
      <c r="AJ140" s="121"/>
      <c r="AK140" s="128"/>
    </row>
    <row r="141" spans="2:37" ht="12" customHeight="1">
      <c r="B141" s="59" t="s">
        <v>166</v>
      </c>
      <c r="C141" s="23"/>
      <c r="D141" s="1154">
        <f>SUM(D129:D140)</f>
        <v>0</v>
      </c>
      <c r="E141" s="1154"/>
      <c r="F141" s="1154"/>
      <c r="G141" s="1154"/>
      <c r="H141" s="1154"/>
      <c r="I141" s="1154"/>
      <c r="J141" s="58"/>
      <c r="K141" s="121"/>
      <c r="L141" s="121"/>
      <c r="M141" s="121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  <c r="AA141" s="121"/>
      <c r="AB141" s="121"/>
      <c r="AC141" s="121"/>
      <c r="AD141" s="121"/>
      <c r="AE141" s="121"/>
      <c r="AF141" s="121"/>
      <c r="AG141" s="121"/>
      <c r="AH141" s="121"/>
      <c r="AI141" s="121"/>
      <c r="AJ141" s="121"/>
      <c r="AK141" s="128"/>
    </row>
    <row r="142" spans="2:37" ht="12" customHeight="1">
      <c r="B142" t="s">
        <v>537</v>
      </c>
    </row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spans="25:30" hidden="1"/>
    <row r="162" spans="25:30" hidden="1"/>
    <row r="163" spans="25:30" ht="409.5" hidden="1">
      <c r="Y163" s="140" t="s">
        <v>543</v>
      </c>
      <c r="Z163" s="140"/>
    </row>
    <row r="164" spans="25:30" ht="12.75" hidden="1" customHeight="1">
      <c r="AA164" s="140"/>
      <c r="AB164" s="140"/>
      <c r="AC164" s="140"/>
      <c r="AD164" s="140"/>
    </row>
  </sheetData>
  <sheetProtection algorithmName="SHA-512" hashValue="2UhiUNKNgVSTstKj9mRIEaGtqPX4bNclyz2FoCGbwlOAHNxpyOo8L5JUtnZLFynUxQvQIphGk0y28GD01VFmMQ==" saltValue="SZLtaUm5Kslt7/zER2sXgg==" spinCount="100000" sheet="1" objects="1" scenarios="1"/>
  <protectedRanges>
    <protectedRange sqref="AQ54:AT55 AQ56" name="Range1"/>
    <protectedRange sqref="B129:AK141" name="Range4_2"/>
    <protectedRange sqref="C23:AJ23 C74:AF84 C38:AJ73" name="Range1_1"/>
    <protectedRange sqref="AK107:AK120" name="Range3_2"/>
    <protectedRange sqref="C5:AJ22" name="Range1_2"/>
    <protectedRange sqref="C24:AJ37" name="Range1_3"/>
    <protectedRange sqref="B88:AC88" name="Range2_3"/>
    <protectedRange sqref="B107:AJ120" name="Range3_3"/>
    <protectedRange sqref="AG74:AJ84" name="Range1_4"/>
  </protectedRanges>
  <mergeCells count="147">
    <mergeCell ref="D6:M6"/>
    <mergeCell ref="Y6:AI6"/>
    <mergeCell ref="D7:N7"/>
    <mergeCell ref="Y7:AI7"/>
    <mergeCell ref="F11:Q11"/>
    <mergeCell ref="F12:Q12"/>
    <mergeCell ref="E13:H13"/>
    <mergeCell ref="F18:P18"/>
    <mergeCell ref="S18:Y18"/>
    <mergeCell ref="AA18:AG18"/>
    <mergeCell ref="X11:X12"/>
    <mergeCell ref="Y11:Y12"/>
    <mergeCell ref="Z11:Z12"/>
    <mergeCell ref="F19:P19"/>
    <mergeCell ref="S19:Y19"/>
    <mergeCell ref="AA19:AG19"/>
    <mergeCell ref="F20:P20"/>
    <mergeCell ref="S20:Y20"/>
    <mergeCell ref="AA20:AG20"/>
    <mergeCell ref="F21:P21"/>
    <mergeCell ref="S21:Y21"/>
    <mergeCell ref="AA21:AG21"/>
    <mergeCell ref="S22:Y22"/>
    <mergeCell ref="AA22:AG22"/>
    <mergeCell ref="W25:Z25"/>
    <mergeCell ref="W27:Z27"/>
    <mergeCell ref="W29:Z29"/>
    <mergeCell ref="AB30:AE30"/>
    <mergeCell ref="W31:Z31"/>
    <mergeCell ref="P33:T33"/>
    <mergeCell ref="W33:Z33"/>
    <mergeCell ref="P34:T34"/>
    <mergeCell ref="P35:T35"/>
    <mergeCell ref="P36:T36"/>
    <mergeCell ref="P37:T37"/>
    <mergeCell ref="AB38:AE38"/>
    <mergeCell ref="W40:Z40"/>
    <mergeCell ref="W41:Z41"/>
    <mergeCell ref="W42:Z42"/>
    <mergeCell ref="W43:Z43"/>
    <mergeCell ref="AB44:AE44"/>
    <mergeCell ref="AG45:AJ45"/>
    <mergeCell ref="AB49:AE49"/>
    <mergeCell ref="AG50:AJ50"/>
    <mergeCell ref="AA51:AE51"/>
    <mergeCell ref="AF51:AJ51"/>
    <mergeCell ref="AA52:AE52"/>
    <mergeCell ref="AF52:AJ52"/>
    <mergeCell ref="W54:Z54"/>
    <mergeCell ref="AB54:AE54"/>
    <mergeCell ref="W55:Z55"/>
    <mergeCell ref="AB55:AE55"/>
    <mergeCell ref="W56:Z56"/>
    <mergeCell ref="AB56:AE56"/>
    <mergeCell ref="W57:Z57"/>
    <mergeCell ref="AB57:AE57"/>
    <mergeCell ref="W58:Z58"/>
    <mergeCell ref="AB58:AE58"/>
    <mergeCell ref="W59:Z59"/>
    <mergeCell ref="AB59:AE59"/>
    <mergeCell ref="W60:Z60"/>
    <mergeCell ref="AB60:AE60"/>
    <mergeCell ref="W61:Z61"/>
    <mergeCell ref="AB61:AE61"/>
    <mergeCell ref="W62:Z62"/>
    <mergeCell ref="W63:Z63"/>
    <mergeCell ref="AB63:AE63"/>
    <mergeCell ref="AG63:AJ63"/>
    <mergeCell ref="W64:Z64"/>
    <mergeCell ref="AB64:AE64"/>
    <mergeCell ref="AG64:AJ64"/>
    <mergeCell ref="W65:Z65"/>
    <mergeCell ref="AB65:AE65"/>
    <mergeCell ref="AG65:AJ65"/>
    <mergeCell ref="W69:Z69"/>
    <mergeCell ref="AB69:AE69"/>
    <mergeCell ref="AG69:AJ69"/>
    <mergeCell ref="W70:Z70"/>
    <mergeCell ref="AB70:AE70"/>
    <mergeCell ref="AG70:AJ70"/>
    <mergeCell ref="W71:Z71"/>
    <mergeCell ref="AB71:AE71"/>
    <mergeCell ref="AG71:AJ71"/>
    <mergeCell ref="W72:Z72"/>
    <mergeCell ref="AB72:AE72"/>
    <mergeCell ref="AG72:AJ72"/>
    <mergeCell ref="W73:Z73"/>
    <mergeCell ref="AB73:AE73"/>
    <mergeCell ref="AG73:AJ73"/>
    <mergeCell ref="AG74:AJ74"/>
    <mergeCell ref="AG75:AJ75"/>
    <mergeCell ref="AG76:AJ76"/>
    <mergeCell ref="AG77:AJ77"/>
    <mergeCell ref="AG78:AJ78"/>
    <mergeCell ref="AG79:AJ79"/>
    <mergeCell ref="AG80:AJ80"/>
    <mergeCell ref="AG81:AJ81"/>
    <mergeCell ref="AG82:AJ82"/>
    <mergeCell ref="AG83:AJ83"/>
    <mergeCell ref="G84:J84"/>
    <mergeCell ref="AG84:AJ84"/>
    <mergeCell ref="H86:P86"/>
    <mergeCell ref="X86:AI86"/>
    <mergeCell ref="K87:T87"/>
    <mergeCell ref="D88:H88"/>
    <mergeCell ref="M88:AC88"/>
    <mergeCell ref="F92:K92"/>
    <mergeCell ref="Y92:AE92"/>
    <mergeCell ref="E118:I118"/>
    <mergeCell ref="E119:I119"/>
    <mergeCell ref="E120:I120"/>
    <mergeCell ref="E121:I121"/>
    <mergeCell ref="B124:AK124"/>
    <mergeCell ref="D129:I129"/>
    <mergeCell ref="B101:AK101"/>
    <mergeCell ref="E107:I107"/>
    <mergeCell ref="E108:I108"/>
    <mergeCell ref="E109:I109"/>
    <mergeCell ref="E110:I110"/>
    <mergeCell ref="E111:I111"/>
    <mergeCell ref="E112:I112"/>
    <mergeCell ref="E113:I113"/>
    <mergeCell ref="E114:I114"/>
    <mergeCell ref="CG1:CI2"/>
    <mergeCell ref="AA12:AE13"/>
    <mergeCell ref="AF12:AJ13"/>
    <mergeCell ref="D139:I139"/>
    <mergeCell ref="D140:I140"/>
    <mergeCell ref="D141:I141"/>
    <mergeCell ref="R11:R12"/>
    <mergeCell ref="S11:S12"/>
    <mergeCell ref="T11:T12"/>
    <mergeCell ref="U11:U12"/>
    <mergeCell ref="V11:V12"/>
    <mergeCell ref="W11:W12"/>
    <mergeCell ref="D130:I130"/>
    <mergeCell ref="D131:I131"/>
    <mergeCell ref="D132:I132"/>
    <mergeCell ref="D133:I133"/>
    <mergeCell ref="D134:I134"/>
    <mergeCell ref="D135:I135"/>
    <mergeCell ref="D136:I136"/>
    <mergeCell ref="D137:I137"/>
    <mergeCell ref="D138:I138"/>
    <mergeCell ref="E115:I115"/>
    <mergeCell ref="E116:I116"/>
    <mergeCell ref="E117:I117"/>
  </mergeCells>
  <hyperlinks>
    <hyperlink ref="CG1:CI2" location="'Personal Information'!A1" display="Back to Home Page" xr:uid="{00000000-0004-0000-0600-000000000000}"/>
  </hyperlinks>
  <pageMargins left="0.25" right="0.25" top="0.4" bottom="0" header="0.5" footer="0.5"/>
  <pageSetup paperSize="9" scale="87" orientation="portrait" blackAndWhite="1" horizontalDpi="180" verticalDpi="180" r:id="rId1"/>
  <headerFooter scaleWithDoc="0" alignWithMargins="0"/>
  <rowBreaks count="1" manualBreakCount="1">
    <brk id="85" max="3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tabColor rgb="FF0070C0"/>
  </sheetPr>
  <dimension ref="A1:AF92"/>
  <sheetViews>
    <sheetView showGridLines="0" view="pageBreakPreview" zoomScaleNormal="100" workbookViewId="0">
      <selection activeCell="X3" sqref="X3:Z4"/>
    </sheetView>
  </sheetViews>
  <sheetFormatPr defaultColWidth="9" defaultRowHeight="12.75"/>
  <cols>
    <col min="1" max="1" width="5.85546875" customWidth="1"/>
    <col min="4" max="4" width="9.42578125" customWidth="1"/>
    <col min="5" max="5" width="8" customWidth="1"/>
    <col min="6" max="6" width="14.5703125" customWidth="1"/>
    <col min="7" max="7" width="13.42578125" customWidth="1"/>
    <col min="8" max="8" width="11.140625" customWidth="1"/>
    <col min="9" max="9" width="21.28515625" customWidth="1"/>
    <col min="10" max="16" width="8.5703125" hidden="1" customWidth="1"/>
    <col min="17" max="17" width="12.42578125" hidden="1" customWidth="1"/>
    <col min="18" max="18" width="13.42578125" hidden="1" customWidth="1"/>
    <col min="19" max="19" width="7.28515625" hidden="1" customWidth="1"/>
    <col min="20" max="20" width="10.7109375" hidden="1" customWidth="1"/>
    <col min="21" max="21" width="8.85546875" hidden="1" customWidth="1"/>
    <col min="22" max="22" width="14.28515625" hidden="1" customWidth="1"/>
    <col min="23" max="23" width="19.140625" hidden="1" customWidth="1"/>
    <col min="24" max="24" width="23.5703125" customWidth="1"/>
    <col min="25" max="25" width="14.140625" customWidth="1"/>
    <col min="26" max="26" width="13.85546875" customWidth="1"/>
    <col min="27" max="27" width="12.140625" customWidth="1"/>
    <col min="28" max="28" width="12.28515625" customWidth="1"/>
    <col min="29" max="29" width="13.140625" customWidth="1"/>
    <col min="30" max="31" width="9.140625" customWidth="1"/>
    <col min="32" max="32" width="12" customWidth="1"/>
    <col min="33" max="33" width="9.140625" customWidth="1"/>
    <col min="34" max="35" width="0.28515625" customWidth="1"/>
    <col min="36" max="36" width="0.42578125" customWidth="1"/>
    <col min="37" max="38" width="9.140625" customWidth="1"/>
    <col min="39" max="39" width="18.7109375" customWidth="1"/>
    <col min="40" max="60" width="9.140625" customWidth="1"/>
  </cols>
  <sheetData>
    <row r="1" spans="1:26" s="141" customFormat="1" ht="29.25" customHeight="1">
      <c r="A1" s="143" t="s">
        <v>308</v>
      </c>
      <c r="B1" s="144"/>
      <c r="C1" s="143"/>
      <c r="D1" s="143"/>
      <c r="E1" s="143"/>
      <c r="F1" s="143"/>
      <c r="G1" s="145" t="str">
        <f>'Personal Information'!$C$26</f>
        <v>2024-25</v>
      </c>
      <c r="H1" s="143"/>
      <c r="J1" s="177"/>
      <c r="K1" s="177"/>
      <c r="L1" s="177"/>
      <c r="M1" s="177"/>
      <c r="N1" s="177"/>
      <c r="O1" s="177"/>
      <c r="P1" s="177"/>
      <c r="X1" s="184"/>
      <c r="Y1" s="184"/>
      <c r="Z1" s="184"/>
    </row>
    <row r="2" spans="1:26" s="7" customFormat="1" ht="16.5" customHeight="1">
      <c r="A2" s="51" t="s">
        <v>309</v>
      </c>
      <c r="B2" s="51"/>
      <c r="C2" s="51"/>
      <c r="D2" s="146"/>
      <c r="E2" s="146"/>
      <c r="F2" s="1143" t="str">
        <f>'Salary Details'!$O$2</f>
        <v>0 0 TEHRI</v>
      </c>
      <c r="G2" s="1143"/>
      <c r="H2" s="1143"/>
      <c r="I2" s="1143"/>
      <c r="X2" s="185"/>
      <c r="Y2" s="185"/>
      <c r="Z2" s="185"/>
    </row>
    <row r="3" spans="1:26" s="141" customFormat="1" ht="12.75" customHeight="1">
      <c r="A3" s="51" t="s">
        <v>310</v>
      </c>
      <c r="B3" s="51"/>
      <c r="C3" s="51"/>
      <c r="D3" s="1143" t="str">
        <f>'Personal Information'!$C$3</f>
        <v>VIKAS</v>
      </c>
      <c r="E3" s="1143"/>
      <c r="F3" s="1143"/>
      <c r="G3" s="51" t="s">
        <v>311</v>
      </c>
      <c r="H3" s="51"/>
      <c r="I3" s="1042">
        <f>'Personal Information'!$C$6</f>
        <v>0</v>
      </c>
      <c r="J3" s="1042"/>
      <c r="K3" s="158"/>
      <c r="L3" s="158"/>
      <c r="M3" s="158"/>
      <c r="N3" s="158"/>
      <c r="O3" s="158"/>
      <c r="P3" s="158"/>
      <c r="X3" s="1130" t="s">
        <v>181</v>
      </c>
      <c r="Y3" s="1130"/>
      <c r="Z3" s="1130"/>
    </row>
    <row r="4" spans="1:26" s="141" customFormat="1" ht="13.5" customHeight="1">
      <c r="A4" s="118" t="s">
        <v>312</v>
      </c>
      <c r="B4" s="118"/>
      <c r="C4" s="118"/>
      <c r="D4" s="1144" t="str">
        <f>'Personal Information'!$M$8</f>
        <v/>
      </c>
      <c r="E4" s="1144"/>
      <c r="F4" s="118"/>
      <c r="G4" s="118" t="s">
        <v>313</v>
      </c>
      <c r="H4" s="118"/>
      <c r="I4" s="147">
        <f>'Personal Information'!$C$9</f>
        <v>0</v>
      </c>
      <c r="J4" s="52"/>
      <c r="K4" s="52"/>
      <c r="L4" s="52"/>
      <c r="M4" s="52"/>
      <c r="N4" s="52"/>
      <c r="O4" s="52"/>
      <c r="P4" s="52"/>
      <c r="R4" s="186"/>
      <c r="S4" s="187"/>
      <c r="U4" s="188"/>
      <c r="V4" s="188"/>
      <c r="X4" s="1130"/>
      <c r="Y4" s="1130"/>
      <c r="Z4" s="1130"/>
    </row>
    <row r="5" spans="1:26" s="141" customFormat="1" ht="11.25" customHeight="1">
      <c r="A5" s="52" t="s">
        <v>314</v>
      </c>
      <c r="B5" s="52"/>
      <c r="C5" s="52"/>
      <c r="D5" s="52"/>
      <c r="E5" s="52"/>
      <c r="F5" s="75"/>
      <c r="G5" s="148"/>
      <c r="H5" s="75"/>
      <c r="I5" s="159"/>
      <c r="J5" s="130"/>
      <c r="K5" s="130"/>
      <c r="L5" s="130"/>
      <c r="M5" s="130"/>
      <c r="N5" s="130"/>
      <c r="O5" s="130"/>
      <c r="P5" s="130"/>
      <c r="Q5" s="189"/>
      <c r="R5" s="738" t="s">
        <v>231</v>
      </c>
      <c r="S5" s="186" t="str">
        <f>'Salary Details'!$E$46</f>
        <v>Principal</v>
      </c>
      <c r="T5" s="190"/>
      <c r="U5" s="191" t="str">
        <f>'Personal Information'!$M$11</f>
        <v>C</v>
      </c>
      <c r="V5" s="739" t="s">
        <v>231</v>
      </c>
      <c r="W5" s="192"/>
    </row>
    <row r="6" spans="1:26" s="7" customFormat="1" ht="18" customHeight="1">
      <c r="A6" s="75"/>
      <c r="B6" s="75" t="s">
        <v>315</v>
      </c>
      <c r="C6" s="75"/>
      <c r="D6" s="75"/>
      <c r="E6" s="75"/>
      <c r="F6" s="75"/>
      <c r="G6" s="148"/>
      <c r="H6" s="149" t="s">
        <v>316</v>
      </c>
      <c r="I6" s="178">
        <f>SUM('Salary Details'!$E$27)</f>
        <v>429108</v>
      </c>
      <c r="Q6" s="16"/>
      <c r="R6" s="24"/>
      <c r="S6" s="186"/>
      <c r="T6" s="53"/>
      <c r="U6" s="22" t="s">
        <v>317</v>
      </c>
      <c r="V6" s="193"/>
      <c r="W6" s="194"/>
    </row>
    <row r="7" spans="1:26" s="7" customFormat="1" ht="18" customHeight="1">
      <c r="A7" s="75"/>
      <c r="B7" s="75" t="s">
        <v>318</v>
      </c>
      <c r="C7" s="75"/>
      <c r="D7" s="75"/>
      <c r="E7" s="75"/>
      <c r="F7" s="75"/>
      <c r="G7" s="148"/>
      <c r="H7" s="150" t="s">
        <v>316</v>
      </c>
      <c r="I7" s="178">
        <f>SUM('Salary Details'!$F$27)</f>
        <v>0</v>
      </c>
      <c r="Q7" s="16"/>
      <c r="R7" s="23" t="str">
        <f>'Salary Details'!C30</f>
        <v>Principal</v>
      </c>
      <c r="S7" s="23"/>
      <c r="T7" s="58"/>
      <c r="U7" s="24" t="s">
        <v>319</v>
      </c>
      <c r="V7" s="195">
        <f>SUM('Salary Details'!$N$27+'Salary Details'!O27)</f>
        <v>64456</v>
      </c>
      <c r="W7" s="194"/>
    </row>
    <row r="8" spans="1:26" s="7" customFormat="1" ht="16.5" customHeight="1">
      <c r="A8" s="75"/>
      <c r="B8" s="75" t="s">
        <v>320</v>
      </c>
      <c r="C8" s="75"/>
      <c r="D8" s="75"/>
      <c r="E8" s="75"/>
      <c r="F8" s="75"/>
      <c r="G8" s="148"/>
      <c r="H8" s="150" t="s">
        <v>316</v>
      </c>
      <c r="I8" s="178">
        <f>SUM('Salary Details'!$H$27)</f>
        <v>222366</v>
      </c>
      <c r="Q8" s="48"/>
      <c r="R8" s="56"/>
      <c r="S8" s="46"/>
      <c r="T8" s="59"/>
      <c r="U8" s="22" t="s">
        <v>321</v>
      </c>
      <c r="V8" s="193">
        <f>SUM('Salary Details'!$N$27)</f>
        <v>64456</v>
      </c>
      <c r="W8" s="196"/>
    </row>
    <row r="9" spans="1:26" s="7" customFormat="1" ht="16.5" customHeight="1">
      <c r="A9" s="75"/>
      <c r="B9" s="75" t="s">
        <v>322</v>
      </c>
      <c r="C9" s="75"/>
      <c r="D9" s="75"/>
      <c r="E9" s="75"/>
      <c r="F9" s="75"/>
      <c r="G9" s="148"/>
      <c r="H9" s="150" t="s">
        <v>316</v>
      </c>
      <c r="I9" s="178">
        <f>SUM('Salary Details'!$I$27)</f>
        <v>3360</v>
      </c>
      <c r="Q9" s="24"/>
      <c r="R9" s="24"/>
      <c r="S9" s="24"/>
      <c r="T9" s="24"/>
      <c r="U9" s="24"/>
    </row>
    <row r="10" spans="1:26" s="7" customFormat="1" ht="16.5" customHeight="1">
      <c r="A10" s="75"/>
      <c r="B10" s="75" t="s">
        <v>323</v>
      </c>
      <c r="C10" s="75"/>
      <c r="D10" s="75"/>
      <c r="E10" s="75"/>
      <c r="F10" s="75"/>
      <c r="G10" s="148"/>
      <c r="H10" s="150" t="s">
        <v>316</v>
      </c>
      <c r="I10" s="178">
        <f>SUM('Salary Details'!$J$27)</f>
        <v>42600</v>
      </c>
      <c r="Q10" s="24"/>
      <c r="R10" s="24"/>
      <c r="S10" s="24"/>
      <c r="T10" s="24"/>
      <c r="U10" s="24"/>
    </row>
    <row r="11" spans="1:26" s="7" customFormat="1" ht="16.5" hidden="1" customHeight="1">
      <c r="A11" s="75"/>
      <c r="B11" s="75" t="s">
        <v>323</v>
      </c>
      <c r="C11" s="75"/>
      <c r="D11" s="75"/>
      <c r="E11" s="75"/>
      <c r="F11" s="75"/>
      <c r="G11" s="148"/>
      <c r="H11" s="150" t="s">
        <v>316</v>
      </c>
      <c r="I11" s="179">
        <v>0</v>
      </c>
      <c r="Q11" s="24"/>
      <c r="R11" s="24"/>
      <c r="S11" s="24"/>
      <c r="T11" s="24"/>
      <c r="U11" s="24"/>
    </row>
    <row r="12" spans="1:26" s="7" customFormat="1" ht="16.5" customHeight="1">
      <c r="A12" s="75"/>
      <c r="B12" s="75" t="s">
        <v>544</v>
      </c>
      <c r="C12" s="75"/>
      <c r="D12" s="75"/>
      <c r="E12" s="75"/>
      <c r="F12" s="75"/>
      <c r="G12" s="148"/>
      <c r="H12" s="150" t="s">
        <v>316</v>
      </c>
      <c r="I12" s="179">
        <f>'Salary Details'!P27</f>
        <v>90240</v>
      </c>
      <c r="Q12" s="24"/>
      <c r="R12" s="24"/>
      <c r="S12" s="24"/>
      <c r="T12" s="24"/>
      <c r="U12" s="24"/>
    </row>
    <row r="13" spans="1:26" s="7" customFormat="1" ht="16.5" customHeight="1">
      <c r="A13" s="75"/>
      <c r="B13" s="75" t="s">
        <v>545</v>
      </c>
      <c r="C13" s="75"/>
      <c r="D13" s="75"/>
      <c r="E13" s="75"/>
      <c r="F13" s="75"/>
      <c r="G13" s="148"/>
      <c r="H13" s="150" t="s">
        <v>316</v>
      </c>
      <c r="I13" s="179">
        <f>'Income Tax Ass Old'!I14</f>
        <v>0</v>
      </c>
      <c r="Q13" s="24"/>
      <c r="R13" s="24"/>
      <c r="S13" s="24"/>
      <c r="T13" s="24"/>
      <c r="U13" s="24"/>
    </row>
    <row r="14" spans="1:26" s="7" customFormat="1" ht="16.5" customHeight="1">
      <c r="A14" s="75"/>
      <c r="B14" s="75" t="s">
        <v>546</v>
      </c>
      <c r="C14" s="75"/>
      <c r="D14" s="75"/>
      <c r="E14" s="75"/>
      <c r="F14" s="75"/>
      <c r="G14" s="148"/>
      <c r="H14" s="150" t="s">
        <v>316</v>
      </c>
      <c r="I14" s="179">
        <f>'Income Tax Ass Old'!I12</f>
        <v>0</v>
      </c>
      <c r="Q14" s="24"/>
      <c r="R14" s="24"/>
      <c r="S14" s="24"/>
      <c r="T14" s="24"/>
      <c r="U14" s="24"/>
    </row>
    <row r="15" spans="1:26" s="7" customFormat="1" ht="18" customHeight="1">
      <c r="A15" s="75"/>
      <c r="B15" s="52" t="s">
        <v>328</v>
      </c>
      <c r="C15" s="52"/>
      <c r="D15" s="75"/>
      <c r="E15" s="75"/>
      <c r="F15" s="75"/>
      <c r="G15" s="148"/>
      <c r="H15" s="151" t="s">
        <v>316</v>
      </c>
      <c r="I15" s="180">
        <f>SUM(I6:I14)</f>
        <v>787674</v>
      </c>
      <c r="Q15" s="24"/>
      <c r="R15" s="24"/>
      <c r="S15" s="24"/>
      <c r="T15" s="24"/>
      <c r="U15" s="24"/>
    </row>
    <row r="16" spans="1:26" s="7" customFormat="1" ht="18" customHeight="1">
      <c r="A16" s="75"/>
      <c r="B16" s="75" t="s">
        <v>329</v>
      </c>
      <c r="C16" s="75"/>
      <c r="D16" s="75"/>
      <c r="E16" s="75"/>
      <c r="F16" s="75"/>
      <c r="G16" s="148"/>
      <c r="H16" s="150" t="s">
        <v>316</v>
      </c>
      <c r="I16" s="178">
        <f>'Income Tax Ass Old'!I16</f>
        <v>0</v>
      </c>
      <c r="Q16" s="24"/>
      <c r="R16" s="24"/>
      <c r="S16" s="24"/>
      <c r="T16" s="24"/>
      <c r="U16" s="24"/>
    </row>
    <row r="17" spans="1:25" s="7" customFormat="1" ht="18" customHeight="1">
      <c r="A17" s="75"/>
      <c r="B17" s="75" t="s">
        <v>547</v>
      </c>
      <c r="C17" s="75"/>
      <c r="D17" s="75"/>
      <c r="E17" s="75"/>
      <c r="F17" s="75"/>
      <c r="G17" s="148"/>
      <c r="H17" s="150" t="s">
        <v>316</v>
      </c>
      <c r="I17" s="178" cm="1">
        <f t="array" ref="I17:N17">'Personal Information'!X28:AC28</f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Q17" s="24"/>
      <c r="R17" s="24"/>
      <c r="S17" s="24"/>
      <c r="T17" s="24"/>
      <c r="U17" s="24"/>
    </row>
    <row r="18" spans="1:25" s="7" customFormat="1" ht="12" customHeight="1">
      <c r="A18" s="1145" t="s">
        <v>331</v>
      </c>
      <c r="B18" s="1146"/>
      <c r="C18" s="1146"/>
      <c r="D18" s="1146"/>
      <c r="E18" s="1146"/>
      <c r="F18" s="1146"/>
      <c r="G18" s="148"/>
      <c r="H18" s="151" t="s">
        <v>316</v>
      </c>
      <c r="I18" s="180">
        <f>I15+I16+I17</f>
        <v>787674</v>
      </c>
      <c r="Q18" s="24"/>
      <c r="R18" s="24"/>
      <c r="S18" s="24"/>
      <c r="T18" s="24"/>
      <c r="U18" s="24"/>
    </row>
    <row r="19" spans="1:25" s="7" customFormat="1" ht="16.5" customHeight="1">
      <c r="A19" s="52" t="s">
        <v>332</v>
      </c>
      <c r="B19" s="52"/>
      <c r="C19" s="52"/>
      <c r="D19" s="75"/>
      <c r="E19" s="75"/>
      <c r="F19" s="75"/>
      <c r="G19" s="148"/>
      <c r="H19" s="150"/>
      <c r="I19" s="178"/>
      <c r="Q19" s="24"/>
      <c r="R19" s="24"/>
      <c r="S19" s="24"/>
      <c r="T19" s="24"/>
      <c r="U19" s="24"/>
    </row>
    <row r="20" spans="1:25" s="7" customFormat="1" ht="16.5" customHeight="1">
      <c r="A20" s="69"/>
      <c r="B20" s="69"/>
      <c r="C20" s="32"/>
      <c r="D20" s="32"/>
      <c r="E20" s="32"/>
      <c r="F20" s="152" t="s">
        <v>240</v>
      </c>
      <c r="G20" s="153"/>
      <c r="H20" s="150" t="s">
        <v>316</v>
      </c>
      <c r="I20" s="181">
        <v>0</v>
      </c>
      <c r="Q20" s="24"/>
      <c r="R20" s="24"/>
      <c r="S20" s="24"/>
      <c r="T20" s="24"/>
      <c r="U20" s="24"/>
      <c r="Y20" s="203"/>
    </row>
    <row r="21" spans="1:25" s="7" customFormat="1" ht="13.5" customHeight="1">
      <c r="A21" s="69"/>
      <c r="B21" s="69"/>
      <c r="C21" s="32"/>
      <c r="D21" s="32"/>
      <c r="E21" s="32"/>
      <c r="F21" s="152" t="s">
        <v>239</v>
      </c>
      <c r="G21" s="153"/>
      <c r="H21" s="150"/>
      <c r="I21" s="182">
        <v>0</v>
      </c>
      <c r="Q21" s="197">
        <f>'Personal Information'!AL10</f>
        <v>0</v>
      </c>
      <c r="R21" s="24"/>
      <c r="S21" s="24"/>
      <c r="T21" s="24"/>
      <c r="U21" s="24">
        <v>75000</v>
      </c>
      <c r="Y21" s="203"/>
    </row>
    <row r="22" spans="1:25" s="7" customFormat="1" ht="17.25" hidden="1" customHeight="1">
      <c r="A22" s="154"/>
      <c r="B22" s="154"/>
      <c r="C22" s="155" t="s">
        <v>333</v>
      </c>
      <c r="D22" s="155"/>
      <c r="E22" s="155"/>
      <c r="F22" s="156"/>
      <c r="G22" s="157"/>
      <c r="H22" s="150"/>
      <c r="I22" s="182">
        <f>IF(I11=15000,15000,IF(I11&lt;15000,I11,IF(I11&gt;15000,15000)))</f>
        <v>0</v>
      </c>
      <c r="Q22" s="198"/>
      <c r="R22" s="24"/>
      <c r="S22" s="24"/>
      <c r="T22" s="24"/>
      <c r="U22" s="24"/>
    </row>
    <row r="23" spans="1:25" s="7" customFormat="1" ht="19.5" hidden="1" customHeight="1">
      <c r="A23" s="154"/>
      <c r="B23" s="154"/>
      <c r="C23" s="155"/>
      <c r="D23" s="155" t="s">
        <v>548</v>
      </c>
      <c r="E23" s="155"/>
      <c r="F23" s="156"/>
      <c r="G23" s="157"/>
      <c r="H23" s="150"/>
      <c r="I23" s="182">
        <v>0</v>
      </c>
      <c r="Q23" s="198"/>
      <c r="R23" s="24"/>
      <c r="S23" s="24"/>
      <c r="T23" s="24"/>
      <c r="U23" s="24"/>
    </row>
    <row r="24" spans="1:25" s="7" customFormat="1">
      <c r="A24" s="52" t="s">
        <v>334</v>
      </c>
      <c r="B24" s="52"/>
      <c r="C24" s="75"/>
      <c r="D24" s="75"/>
      <c r="E24" s="75"/>
      <c r="F24" s="75"/>
      <c r="G24" s="148"/>
      <c r="H24" s="151" t="s">
        <v>316</v>
      </c>
      <c r="I24" s="180">
        <f>(I18-(I22))-I23</f>
        <v>787674</v>
      </c>
      <c r="Q24" s="24"/>
      <c r="R24" s="24"/>
      <c r="S24" s="24"/>
      <c r="T24" s="24"/>
      <c r="U24" s="24"/>
      <c r="Y24" s="203"/>
    </row>
    <row r="25" spans="1:25" s="7" customFormat="1" hidden="1">
      <c r="A25" s="52" t="s">
        <v>549</v>
      </c>
      <c r="B25" s="52"/>
      <c r="C25" s="75"/>
      <c r="D25" s="75"/>
      <c r="E25" s="75"/>
      <c r="F25" s="75"/>
      <c r="G25" s="148"/>
      <c r="H25" s="151"/>
      <c r="I25" s="180">
        <v>0</v>
      </c>
      <c r="Q25" s="24"/>
      <c r="R25" s="24"/>
      <c r="S25" s="24"/>
      <c r="T25" s="24"/>
      <c r="U25" s="24"/>
    </row>
    <row r="26" spans="1:25" s="7" customFormat="1" ht="16.5" hidden="1" customHeight="1">
      <c r="A26" s="52" t="s">
        <v>550</v>
      </c>
      <c r="B26" s="52"/>
      <c r="C26" s="52"/>
      <c r="D26" s="75"/>
      <c r="E26" s="75"/>
      <c r="F26" s="75"/>
      <c r="G26" s="148"/>
      <c r="H26" s="150"/>
      <c r="I26" s="178"/>
      <c r="Q26" s="24"/>
      <c r="R26" s="24"/>
      <c r="S26" s="24"/>
      <c r="T26" s="24"/>
      <c r="U26" s="24"/>
    </row>
    <row r="27" spans="1:25" s="7" customFormat="1" ht="16.5" hidden="1" customHeight="1">
      <c r="A27" s="24" t="s">
        <v>337</v>
      </c>
      <c r="B27" s="24"/>
      <c r="C27" s="24"/>
      <c r="D27" s="24"/>
      <c r="E27" s="24"/>
      <c r="F27" s="24"/>
      <c r="G27" s="148"/>
      <c r="H27" s="150" t="s">
        <v>316</v>
      </c>
      <c r="I27" s="179">
        <v>0</v>
      </c>
      <c r="Q27" s="24"/>
      <c r="R27" s="24"/>
      <c r="S27" s="24"/>
      <c r="T27" s="24"/>
      <c r="U27" s="24"/>
    </row>
    <row r="28" spans="1:25" s="7" customFormat="1" ht="16.5" hidden="1" customHeight="1">
      <c r="A28" s="1141" t="s">
        <v>338</v>
      </c>
      <c r="B28" s="1141"/>
      <c r="C28" s="1141"/>
      <c r="D28" s="1141"/>
      <c r="E28" s="1141"/>
      <c r="F28" s="1141"/>
      <c r="G28" s="148"/>
      <c r="H28" s="150" t="s">
        <v>316</v>
      </c>
      <c r="I28" s="179">
        <v>0</v>
      </c>
      <c r="Q28" s="24"/>
      <c r="R28" s="24"/>
      <c r="S28" s="24"/>
      <c r="T28" s="24"/>
      <c r="U28" s="24"/>
    </row>
    <row r="29" spans="1:25" s="7" customFormat="1" ht="16.5" hidden="1" customHeight="1">
      <c r="A29" s="52" t="s">
        <v>340</v>
      </c>
      <c r="B29" s="52"/>
      <c r="C29" s="75"/>
      <c r="D29" s="75"/>
      <c r="E29" s="75"/>
      <c r="F29" s="75"/>
      <c r="G29" s="148"/>
      <c r="H29" s="151" t="s">
        <v>316</v>
      </c>
      <c r="I29" s="180">
        <f>(I24-I25-(I27+I28))</f>
        <v>787674</v>
      </c>
      <c r="Q29" s="24"/>
      <c r="R29" s="24"/>
      <c r="S29" s="24"/>
      <c r="T29" s="24"/>
      <c r="U29" s="24"/>
    </row>
    <row r="30" spans="1:25" s="7" customFormat="1" ht="16.5" customHeight="1">
      <c r="A30" s="52" t="s">
        <v>551</v>
      </c>
      <c r="B30" s="52"/>
      <c r="C30" s="75"/>
      <c r="D30" s="75"/>
      <c r="E30" s="75"/>
      <c r="F30" s="75"/>
      <c r="G30" s="148"/>
      <c r="H30" s="151"/>
      <c r="I30" s="180">
        <f>IF(U21&gt;I24,I24,U21)</f>
        <v>75000</v>
      </c>
      <c r="Q30" s="24"/>
      <c r="R30" s="24"/>
      <c r="S30" s="24"/>
      <c r="T30" s="24"/>
      <c r="U30" s="24"/>
    </row>
    <row r="31" spans="1:25" s="7" customFormat="1" ht="16.5" customHeight="1">
      <c r="A31" s="52" t="s">
        <v>552</v>
      </c>
      <c r="B31" s="52"/>
      <c r="C31" s="52"/>
      <c r="D31" s="52"/>
      <c r="E31" s="75"/>
      <c r="F31" s="75"/>
      <c r="G31" s="148"/>
      <c r="H31" s="150" t="s">
        <v>316</v>
      </c>
      <c r="I31" s="179">
        <f>'Income Tax Ass Old'!I16</f>
        <v>0</v>
      </c>
      <c r="Q31" s="24"/>
      <c r="R31" s="24"/>
      <c r="S31" s="24"/>
      <c r="T31" s="24"/>
      <c r="U31" s="24"/>
      <c r="Y31" s="203"/>
    </row>
    <row r="32" spans="1:25" s="7" customFormat="1" ht="16.5" customHeight="1">
      <c r="A32" s="52" t="s">
        <v>553</v>
      </c>
      <c r="B32" s="52"/>
      <c r="C32" s="52"/>
      <c r="D32" s="52"/>
      <c r="E32" s="75"/>
      <c r="F32" s="75"/>
      <c r="G32" s="148"/>
      <c r="H32" s="151" t="s">
        <v>316</v>
      </c>
      <c r="I32" s="180">
        <f>I24-I30+I31</f>
        <v>712674</v>
      </c>
      <c r="Q32" s="24"/>
      <c r="R32" s="24"/>
      <c r="S32" s="24"/>
      <c r="T32" s="24"/>
      <c r="U32" s="24"/>
    </row>
    <row r="33" spans="1:30" s="7" customFormat="1" ht="0.75" customHeight="1">
      <c r="A33" s="52" t="s">
        <v>343</v>
      </c>
      <c r="B33" s="52"/>
      <c r="C33" s="52"/>
      <c r="D33" s="52"/>
      <c r="E33" s="75"/>
      <c r="F33" s="75"/>
      <c r="G33" s="148"/>
      <c r="H33" s="151" t="s">
        <v>316</v>
      </c>
      <c r="I33" s="178"/>
      <c r="Q33" s="24"/>
      <c r="R33" s="24"/>
      <c r="S33" s="24"/>
      <c r="T33" s="24"/>
      <c r="U33" s="24"/>
    </row>
    <row r="34" spans="1:30" s="7" customFormat="1" ht="10.5" hidden="1" customHeight="1">
      <c r="A34" s="52" t="s">
        <v>344</v>
      </c>
      <c r="B34" s="52"/>
      <c r="C34" s="52"/>
      <c r="D34" s="52"/>
      <c r="E34" s="52"/>
      <c r="F34" s="75"/>
      <c r="G34" s="148"/>
      <c r="H34" s="151" t="s">
        <v>316</v>
      </c>
      <c r="I34" s="178"/>
      <c r="Q34" s="24"/>
      <c r="R34" s="24"/>
      <c r="S34" s="24"/>
      <c r="T34" s="24"/>
      <c r="U34" s="24"/>
    </row>
    <row r="35" spans="1:30" s="7" customFormat="1" ht="16.5" hidden="1" customHeight="1">
      <c r="A35" s="75"/>
      <c r="B35" s="75"/>
      <c r="C35" s="75"/>
      <c r="D35" s="1139" t="str">
        <f>U7</f>
        <v>1- G.P.F.</v>
      </c>
      <c r="E35" s="1139"/>
      <c r="F35" s="47"/>
      <c r="G35" s="48"/>
      <c r="H35" s="151" t="s">
        <v>316</v>
      </c>
      <c r="I35" s="182">
        <v>0</v>
      </c>
      <c r="Q35" s="198"/>
      <c r="R35" s="24"/>
      <c r="S35" s="24"/>
      <c r="T35" s="24"/>
      <c r="U35" s="24"/>
    </row>
    <row r="36" spans="1:30" s="7" customFormat="1" ht="16.5" hidden="1" customHeight="1">
      <c r="A36" s="75"/>
      <c r="B36" s="75"/>
      <c r="C36" s="75"/>
      <c r="D36" s="1139" t="s">
        <v>345</v>
      </c>
      <c r="E36" s="1139"/>
      <c r="F36" s="47"/>
      <c r="G36" s="48"/>
      <c r="H36" s="151" t="s">
        <v>316</v>
      </c>
      <c r="I36" s="182">
        <v>0</v>
      </c>
      <c r="Q36" s="24"/>
      <c r="R36" s="24"/>
      <c r="S36" s="24"/>
      <c r="T36" s="24"/>
      <c r="U36" s="24"/>
    </row>
    <row r="37" spans="1:30" s="7" customFormat="1" ht="16.5" hidden="1" customHeight="1">
      <c r="A37" s="75"/>
      <c r="B37" s="75"/>
      <c r="C37" s="75"/>
      <c r="D37" s="1139" t="s">
        <v>346</v>
      </c>
      <c r="E37" s="1139"/>
      <c r="F37" s="47"/>
      <c r="G37" s="48"/>
      <c r="H37" s="151" t="s">
        <v>316</v>
      </c>
      <c r="I37" s="178">
        <v>0</v>
      </c>
      <c r="Q37" s="24"/>
      <c r="R37" s="24"/>
      <c r="S37" s="24"/>
      <c r="T37" s="24"/>
      <c r="U37" s="24"/>
    </row>
    <row r="38" spans="1:30" s="7" customFormat="1" ht="16.5" hidden="1" customHeight="1">
      <c r="A38" s="75"/>
      <c r="B38" s="75"/>
      <c r="C38" s="75"/>
      <c r="D38" s="1139" t="s">
        <v>347</v>
      </c>
      <c r="E38" s="1139"/>
      <c r="F38" s="47"/>
      <c r="G38" s="48"/>
      <c r="H38" s="151" t="s">
        <v>316</v>
      </c>
      <c r="I38" s="178">
        <v>0</v>
      </c>
      <c r="Q38" s="24"/>
      <c r="R38" s="24"/>
      <c r="S38" s="24"/>
      <c r="T38" s="24"/>
      <c r="U38" s="24"/>
    </row>
    <row r="39" spans="1:30" s="7" customFormat="1" ht="16.5" hidden="1" customHeight="1">
      <c r="A39" s="75"/>
      <c r="B39" s="75"/>
      <c r="C39" s="75"/>
      <c r="D39" s="1139" t="s">
        <v>348</v>
      </c>
      <c r="E39" s="1139"/>
      <c r="F39" s="47"/>
      <c r="G39" s="48"/>
      <c r="H39" s="151" t="s">
        <v>316</v>
      </c>
      <c r="I39" s="178">
        <v>0</v>
      </c>
      <c r="Q39" s="24"/>
      <c r="R39" s="24"/>
      <c r="S39" s="24"/>
      <c r="T39" s="24"/>
      <c r="U39" s="24"/>
    </row>
    <row r="40" spans="1:30" s="7" customFormat="1" ht="16.5" hidden="1" customHeight="1">
      <c r="A40" s="75"/>
      <c r="B40" s="75"/>
      <c r="C40" s="75"/>
      <c r="D40" s="1139" t="s">
        <v>349</v>
      </c>
      <c r="E40" s="1139"/>
      <c r="F40" s="47"/>
      <c r="G40" s="48"/>
      <c r="H40" s="151" t="s">
        <v>316</v>
      </c>
      <c r="I40" s="178">
        <v>0</v>
      </c>
      <c r="Q40" s="24"/>
      <c r="R40" s="24"/>
      <c r="S40" s="24"/>
      <c r="T40" s="24"/>
      <c r="U40" s="24"/>
    </row>
    <row r="41" spans="1:30" s="7" customFormat="1" ht="16.5" hidden="1" customHeight="1">
      <c r="A41" s="75"/>
      <c r="B41" s="75"/>
      <c r="C41" s="75"/>
      <c r="D41" s="1139" t="s">
        <v>350</v>
      </c>
      <c r="E41" s="1139"/>
      <c r="F41" s="47"/>
      <c r="G41" s="48"/>
      <c r="H41" s="151" t="s">
        <v>316</v>
      </c>
      <c r="I41" s="178">
        <v>0</v>
      </c>
      <c r="Q41" s="24"/>
      <c r="R41" s="24"/>
      <c r="S41" s="24"/>
      <c r="T41" s="24"/>
      <c r="U41" s="24"/>
    </row>
    <row r="42" spans="1:30" s="7" customFormat="1" ht="16.5" hidden="1" customHeight="1">
      <c r="A42" s="75"/>
      <c r="B42" s="75"/>
      <c r="C42" s="75"/>
      <c r="D42" s="1139" t="s">
        <v>351</v>
      </c>
      <c r="E42" s="1139"/>
      <c r="F42" s="1139"/>
      <c r="G42" s="48"/>
      <c r="H42" s="151" t="s">
        <v>316</v>
      </c>
      <c r="I42" s="178">
        <v>0</v>
      </c>
      <c r="Q42" s="24"/>
      <c r="R42" s="24"/>
      <c r="S42" s="24"/>
      <c r="T42" s="24"/>
      <c r="U42" s="24"/>
    </row>
    <row r="43" spans="1:30" s="7" customFormat="1" ht="12.75" hidden="1" customHeight="1">
      <c r="A43" s="75"/>
      <c r="B43" s="75"/>
      <c r="C43" s="75"/>
      <c r="D43" s="24" t="s">
        <v>554</v>
      </c>
      <c r="E43" s="24"/>
      <c r="F43" s="47"/>
      <c r="G43" s="48"/>
      <c r="H43" s="151" t="s">
        <v>316</v>
      </c>
      <c r="I43" s="182">
        <v>0</v>
      </c>
      <c r="Q43" s="197">
        <f>SUM('Salary Details'!$N$27+'Salary Details'!O27)</f>
        <v>64456</v>
      </c>
      <c r="R43" s="178">
        <f>IF(S43="C",Q43,IF(S43="G",0,))</f>
        <v>64456</v>
      </c>
      <c r="S43" s="199" t="str">
        <f>'Salary Details'!$AG$5</f>
        <v>C</v>
      </c>
      <c r="T43" s="24"/>
      <c r="U43" s="24"/>
    </row>
    <row r="44" spans="1:30" s="7" customFormat="1" ht="12.75" hidden="1" customHeight="1">
      <c r="A44" s="75"/>
      <c r="B44" s="75"/>
      <c r="C44" s="75"/>
      <c r="D44" s="24" t="s">
        <v>353</v>
      </c>
      <c r="E44" s="24"/>
      <c r="F44" s="47"/>
      <c r="G44" s="48"/>
      <c r="H44" s="151" t="s">
        <v>316</v>
      </c>
      <c r="I44" s="178">
        <v>0</v>
      </c>
      <c r="Q44" s="197"/>
      <c r="R44" s="178"/>
      <c r="S44" s="199"/>
      <c r="T44" s="24"/>
      <c r="U44" s="24"/>
      <c r="X44"/>
      <c r="Y44"/>
      <c r="Z44"/>
      <c r="AA44"/>
      <c r="AB44"/>
      <c r="AC44"/>
      <c r="AD44"/>
    </row>
    <row r="45" spans="1:30" s="7" customFormat="1" ht="18" hidden="1" customHeight="1">
      <c r="A45" s="45" t="s">
        <v>354</v>
      </c>
      <c r="B45" s="45"/>
      <c r="C45" s="45"/>
      <c r="D45" s="45"/>
      <c r="E45" s="45"/>
      <c r="F45" s="24"/>
      <c r="G45" s="48"/>
      <c r="H45" s="151" t="s">
        <v>316</v>
      </c>
      <c r="I45" s="180">
        <f>SUM(I35:I44)</f>
        <v>0</v>
      </c>
      <c r="Q45" s="24"/>
      <c r="R45" s="24"/>
      <c r="S45" s="24"/>
      <c r="T45" s="24"/>
      <c r="U45" s="24"/>
      <c r="X45"/>
      <c r="Y45"/>
      <c r="Z45"/>
      <c r="AA45"/>
      <c r="AB45"/>
      <c r="AC45"/>
      <c r="AD45"/>
    </row>
    <row r="46" spans="1:30" s="7" customFormat="1" ht="22.5" hidden="1" customHeight="1">
      <c r="A46" s="45" t="s">
        <v>355</v>
      </c>
      <c r="B46" s="45"/>
      <c r="C46" s="45"/>
      <c r="D46" s="45"/>
      <c r="E46" s="45"/>
      <c r="F46" s="24"/>
      <c r="G46" s="48"/>
      <c r="H46" s="151" t="s">
        <v>316</v>
      </c>
      <c r="I46" s="180">
        <f>IF(I45&lt;150000,I45,150000)</f>
        <v>0</v>
      </c>
      <c r="Q46" s="24"/>
      <c r="R46" s="95">
        <f>I36+I37+I38+I39+I40+I41+I42+Q43</f>
        <v>64456</v>
      </c>
      <c r="S46" s="24"/>
      <c r="T46" s="24"/>
      <c r="U46" s="24"/>
      <c r="X46"/>
      <c r="Y46"/>
      <c r="Z46"/>
      <c r="AA46"/>
      <c r="AB46"/>
      <c r="AC46"/>
      <c r="AD46"/>
    </row>
    <row r="47" spans="1:30" s="7" customFormat="1">
      <c r="A47" s="52" t="s">
        <v>555</v>
      </c>
      <c r="B47" s="52"/>
      <c r="C47" s="52"/>
      <c r="D47" s="52"/>
      <c r="E47" s="75"/>
      <c r="F47" s="75"/>
      <c r="G47" s="148"/>
      <c r="H47" s="151"/>
      <c r="I47" s="178"/>
      <c r="Q47" s="24"/>
      <c r="R47" s="24"/>
      <c r="S47" s="24"/>
      <c r="T47" s="24">
        <f>IF(S43="C",Q43,IF(S43="G",0,))</f>
        <v>64456</v>
      </c>
      <c r="U47" s="24"/>
      <c r="X47"/>
      <c r="Y47"/>
      <c r="Z47"/>
      <c r="AA47"/>
      <c r="AB47"/>
      <c r="AC47"/>
      <c r="AD47"/>
    </row>
    <row r="48" spans="1:30" s="7" customFormat="1" hidden="1">
      <c r="A48" s="52"/>
      <c r="B48" s="52"/>
      <c r="C48" s="52"/>
      <c r="D48" s="52"/>
      <c r="E48" s="75"/>
      <c r="F48" s="75"/>
      <c r="G48" s="148"/>
      <c r="H48" s="151" t="s">
        <v>316</v>
      </c>
      <c r="I48" s="178"/>
      <c r="Q48" s="24"/>
      <c r="R48" s="24"/>
      <c r="S48" s="24"/>
      <c r="T48" s="24"/>
      <c r="U48" s="24"/>
      <c r="X48"/>
      <c r="Y48"/>
      <c r="Z48"/>
      <c r="AA48"/>
      <c r="AB48"/>
      <c r="AC48"/>
      <c r="AD48"/>
    </row>
    <row r="49" spans="1:30" s="7" customFormat="1" ht="16.5" customHeight="1">
      <c r="A49" s="1042" t="s">
        <v>556</v>
      </c>
      <c r="B49" s="1042"/>
      <c r="C49" s="1042"/>
      <c r="D49" s="1042"/>
      <c r="E49" s="1042"/>
      <c r="F49" s="1042"/>
      <c r="G49" s="1232"/>
      <c r="H49" s="151" t="s">
        <v>316</v>
      </c>
      <c r="I49" s="178">
        <f>'Income Tax Ass Old'!I13</f>
        <v>90240</v>
      </c>
      <c r="Q49" s="24">
        <f>IF(R46&gt;150000,R46-(150000),IF(R46&lt;=150000,0))</f>
        <v>0</v>
      </c>
      <c r="R49" s="95">
        <f>Q43</f>
        <v>64456</v>
      </c>
      <c r="S49" s="95"/>
      <c r="T49" s="24"/>
      <c r="U49" s="24"/>
      <c r="X49"/>
    </row>
    <row r="50" spans="1:30" s="7" customFormat="1" ht="16.5" customHeight="1">
      <c r="A50" s="75"/>
      <c r="B50" s="1136" t="s">
        <v>376</v>
      </c>
      <c r="C50" s="1136"/>
      <c r="D50" s="1136"/>
      <c r="E50" s="1136"/>
      <c r="F50" s="1136"/>
      <c r="G50" s="148"/>
      <c r="H50" s="150"/>
      <c r="I50" s="180">
        <f>SUM(I49:I49)</f>
        <v>90240</v>
      </c>
      <c r="Q50" s="24"/>
      <c r="R50" s="24"/>
      <c r="S50" s="24"/>
      <c r="T50" s="24"/>
      <c r="U50" s="24"/>
      <c r="X50"/>
    </row>
    <row r="51" spans="1:30" s="7" customFormat="1" ht="16.5" customHeight="1">
      <c r="A51" s="52" t="s">
        <v>557</v>
      </c>
      <c r="B51" s="159"/>
      <c r="C51" s="159"/>
      <c r="D51" s="159"/>
      <c r="E51" s="52"/>
      <c r="F51" s="52"/>
      <c r="G51" s="148"/>
      <c r="H51" s="150"/>
      <c r="I51" s="180"/>
      <c r="Q51" s="24"/>
      <c r="R51" s="24"/>
      <c r="S51" s="24"/>
      <c r="T51" s="24"/>
      <c r="U51" s="24"/>
      <c r="X51"/>
    </row>
    <row r="52" spans="1:30" s="7" customFormat="1" ht="16.5" customHeight="1">
      <c r="A52" s="52" t="s">
        <v>558</v>
      </c>
      <c r="B52" s="52"/>
      <c r="C52" s="52"/>
      <c r="D52" s="52"/>
      <c r="E52" s="52"/>
      <c r="F52" s="75"/>
      <c r="G52" s="148"/>
      <c r="H52" s="151" t="s">
        <v>316</v>
      </c>
      <c r="I52" s="180">
        <f>ROUNDUP(I32-(I50),0-1)</f>
        <v>622440</v>
      </c>
      <c r="Q52" s="24"/>
      <c r="R52" s="24"/>
      <c r="S52" s="24"/>
      <c r="T52" s="24"/>
      <c r="U52" s="24"/>
      <c r="X52"/>
    </row>
    <row r="53" spans="1:30" s="7" customFormat="1" ht="20.25" customHeight="1">
      <c r="A53" s="52" t="s">
        <v>559</v>
      </c>
      <c r="B53" s="52"/>
      <c r="C53" s="52"/>
      <c r="D53" s="52"/>
      <c r="E53" s="52"/>
      <c r="F53" s="75"/>
      <c r="G53" s="148"/>
      <c r="H53" s="150"/>
      <c r="I53" s="178"/>
      <c r="Q53" s="24"/>
      <c r="R53" s="24"/>
      <c r="S53" s="24">
        <f>'Personal Information'!AF3</f>
        <v>59</v>
      </c>
      <c r="T53" s="24"/>
      <c r="U53" s="24"/>
      <c r="X53"/>
    </row>
    <row r="54" spans="1:30" s="7" customFormat="1" ht="18.75" customHeight="1">
      <c r="A54" s="52"/>
      <c r="B54" s="160" t="s">
        <v>560</v>
      </c>
      <c r="C54" s="161"/>
      <c r="D54" s="160"/>
      <c r="E54" s="160"/>
      <c r="F54" s="162"/>
      <c r="G54" s="163"/>
      <c r="H54" s="150"/>
      <c r="I54" s="178">
        <f>T70</f>
        <v>-25000</v>
      </c>
      <c r="O54" s="113">
        <f>I17</f>
        <v>0</v>
      </c>
      <c r="Q54" s="24"/>
      <c r="R54" s="24"/>
      <c r="S54" s="24"/>
      <c r="T54" s="24"/>
      <c r="U54" s="24"/>
      <c r="X54"/>
    </row>
    <row r="55" spans="1:30" s="7" customFormat="1" ht="18" customHeight="1">
      <c r="A55" s="52"/>
      <c r="B55" s="52"/>
      <c r="C55" s="52" t="s">
        <v>561</v>
      </c>
      <c r="D55" s="52"/>
      <c r="E55" s="52"/>
      <c r="F55" s="75"/>
      <c r="G55" s="148"/>
      <c r="H55" s="149" t="s">
        <v>316</v>
      </c>
      <c r="I55" s="178">
        <f>T66</f>
        <v>0</v>
      </c>
      <c r="Q55" s="24"/>
      <c r="R55" s="24"/>
      <c r="S55" s="24"/>
      <c r="T55" s="24"/>
      <c r="U55" s="24"/>
      <c r="X55"/>
    </row>
    <row r="56" spans="1:30" s="7" customFormat="1" ht="18" customHeight="1">
      <c r="A56" s="52"/>
      <c r="B56" s="52"/>
      <c r="C56" s="52"/>
      <c r="D56" s="52"/>
      <c r="E56" s="52" t="s">
        <v>389</v>
      </c>
      <c r="F56" s="75"/>
      <c r="G56" s="148"/>
      <c r="H56" s="149" t="s">
        <v>316</v>
      </c>
      <c r="I56" s="178">
        <f>N63</f>
        <v>0</v>
      </c>
      <c r="Q56" s="24"/>
      <c r="R56" s="24"/>
      <c r="S56" s="24"/>
      <c r="T56" s="24"/>
      <c r="U56" s="24"/>
      <c r="X56"/>
    </row>
    <row r="57" spans="1:30" s="7" customFormat="1" ht="12" customHeight="1">
      <c r="A57" s="164" t="s">
        <v>562</v>
      </c>
      <c r="B57" s="164"/>
      <c r="C57" s="164"/>
      <c r="D57" s="164"/>
      <c r="E57" s="164"/>
      <c r="F57" s="164"/>
      <c r="G57" s="165"/>
      <c r="H57" s="149"/>
      <c r="I57" s="178"/>
      <c r="Q57" s="24"/>
      <c r="R57" s="95">
        <f>IF(Q49&lt;=50000,Q49,IF(Q49&gt;50000,50000))</f>
        <v>0</v>
      </c>
      <c r="S57" s="24">
        <v>0</v>
      </c>
      <c r="T57" s="24"/>
      <c r="U57" s="24"/>
      <c r="X57"/>
    </row>
    <row r="58" spans="1:30" s="7" customFormat="1" ht="12" customHeight="1">
      <c r="A58" s="1230">
        <v>0.05</v>
      </c>
      <c r="B58" s="991"/>
      <c r="C58" s="166">
        <v>0.1</v>
      </c>
      <c r="D58" s="166">
        <v>0.15</v>
      </c>
      <c r="E58" s="166">
        <v>0.2</v>
      </c>
      <c r="F58" s="166">
        <v>0.3</v>
      </c>
      <c r="G58" s="167" t="str">
        <f>X68</f>
        <v>Total Tax</v>
      </c>
      <c r="H58" s="149"/>
      <c r="I58" s="178"/>
      <c r="Q58" s="24"/>
      <c r="R58" s="95"/>
      <c r="S58" s="24"/>
      <c r="T58" s="24"/>
      <c r="U58" s="24"/>
      <c r="X58"/>
    </row>
    <row r="59" spans="1:30" s="7" customFormat="1" ht="16.5" customHeight="1">
      <c r="A59" s="1231">
        <f>Y63</f>
        <v>16122</v>
      </c>
      <c r="B59" s="991"/>
      <c r="C59" s="168">
        <f>Y64</f>
        <v>0</v>
      </c>
      <c r="D59" s="168">
        <f>Y65</f>
        <v>0</v>
      </c>
      <c r="E59" s="168">
        <f>Y66</f>
        <v>0</v>
      </c>
      <c r="F59" s="168">
        <f>Y67</f>
        <v>0</v>
      </c>
      <c r="G59" s="168">
        <f>Y68</f>
        <v>16122</v>
      </c>
      <c r="H59" s="149"/>
      <c r="I59" s="178"/>
      <c r="Q59" s="24"/>
      <c r="R59" s="95"/>
      <c r="S59" s="24"/>
      <c r="T59" s="24"/>
      <c r="U59" s="24"/>
      <c r="X59"/>
    </row>
    <row r="60" spans="1:30" s="7" customFormat="1" ht="16.5" customHeight="1">
      <c r="A60" s="164" t="s">
        <v>386</v>
      </c>
      <c r="B60" s="164"/>
      <c r="C60" s="164"/>
      <c r="D60" s="164"/>
      <c r="E60" s="164"/>
      <c r="F60" s="164"/>
      <c r="G60" s="169"/>
      <c r="H60" s="170"/>
      <c r="I60" s="180"/>
      <c r="Q60" s="24"/>
      <c r="R60" s="24"/>
      <c r="S60" s="24"/>
      <c r="T60" s="24"/>
      <c r="U60" s="24"/>
      <c r="X60"/>
    </row>
    <row r="61" spans="1:30" s="7" customFormat="1" ht="16.5" customHeight="1">
      <c r="A61" s="171" t="s">
        <v>563</v>
      </c>
      <c r="B61" s="171"/>
      <c r="C61" s="172"/>
      <c r="D61" s="172"/>
      <c r="E61" s="172"/>
      <c r="F61" s="172"/>
      <c r="G61" s="173"/>
      <c r="H61" s="174" t="s">
        <v>316</v>
      </c>
      <c r="I61" s="183">
        <f>0.04*SUM(I55)</f>
        <v>0</v>
      </c>
      <c r="N61" s="7">
        <f>I55*0.1</f>
        <v>0</v>
      </c>
      <c r="Q61" s="24"/>
      <c r="R61" s="24"/>
      <c r="S61" s="24"/>
      <c r="T61" s="24"/>
      <c r="U61" s="24"/>
      <c r="X61"/>
    </row>
    <row r="62" spans="1:30" s="7" customFormat="1" ht="15" customHeight="1">
      <c r="A62" s="142"/>
      <c r="B62" s="142"/>
      <c r="C62" s="142"/>
      <c r="D62" s="142"/>
      <c r="E62" s="142"/>
      <c r="F62" s="142"/>
      <c r="G62" s="175"/>
      <c r="H62" s="142"/>
      <c r="I62" s="142"/>
      <c r="Q62" s="24">
        <f>IF(I52=500000,12500,)</f>
        <v>0</v>
      </c>
      <c r="R62" s="24"/>
      <c r="S62" s="24"/>
      <c r="T62" s="24"/>
      <c r="U62" s="24"/>
      <c r="X62" s="200" t="s">
        <v>564</v>
      </c>
      <c r="Y62" s="204">
        <f>AC62*AB62</f>
        <v>0</v>
      </c>
      <c r="Z62" s="204">
        <v>300000</v>
      </c>
      <c r="AA62" s="204"/>
      <c r="AB62" s="204">
        <f>Z62</f>
        <v>300000</v>
      </c>
      <c r="AC62" s="205">
        <v>0</v>
      </c>
      <c r="AD62"/>
    </row>
    <row r="63" spans="1:30" s="7" customFormat="1" ht="14.25" customHeight="1">
      <c r="A63" s="52" t="s">
        <v>565</v>
      </c>
      <c r="B63" s="52"/>
      <c r="C63" s="52"/>
      <c r="D63" s="52"/>
      <c r="E63" s="52"/>
      <c r="F63" s="52"/>
      <c r="G63" s="148"/>
      <c r="H63" s="170" t="s">
        <v>316</v>
      </c>
      <c r="I63" s="180">
        <f>SUM(I55:I62)</f>
        <v>0</v>
      </c>
      <c r="N63" s="7">
        <f>IF(I52&gt;5000000,(I52)*10/100,0)</f>
        <v>0</v>
      </c>
      <c r="Q63" s="24"/>
      <c r="R63" s="24"/>
      <c r="S63" s="24"/>
      <c r="T63" s="24"/>
      <c r="U63" s="24"/>
      <c r="X63" s="201" t="s">
        <v>566</v>
      </c>
      <c r="Y63" s="204">
        <f>MAX(0,MIN(AC63*AB63,AC63*AA63))</f>
        <v>16122</v>
      </c>
      <c r="Z63" s="204">
        <v>700000</v>
      </c>
      <c r="AA63" s="204">
        <f>Z63-Z62</f>
        <v>400000</v>
      </c>
      <c r="AB63" s="204">
        <f>I52-AB62</f>
        <v>322440</v>
      </c>
      <c r="AC63" s="205">
        <v>0.05</v>
      </c>
      <c r="AD63"/>
    </row>
    <row r="64" spans="1:30" s="7" customFormat="1" ht="14.25" customHeight="1">
      <c r="A64" s="52"/>
      <c r="B64" s="52"/>
      <c r="C64" s="52"/>
      <c r="D64" s="52"/>
      <c r="E64" s="52" t="s">
        <v>391</v>
      </c>
      <c r="F64" s="52"/>
      <c r="G64" s="176"/>
      <c r="H64" s="170" t="s">
        <v>316</v>
      </c>
      <c r="I64" s="180">
        <f>IF((R75-I63)&lt;10,R75,Q75)</f>
        <v>0</v>
      </c>
      <c r="Q64" s="24"/>
      <c r="R64" s="24"/>
      <c r="S64" s="24"/>
      <c r="T64" s="24"/>
      <c r="U64" s="24"/>
      <c r="X64" s="202" t="s">
        <v>567</v>
      </c>
      <c r="Y64" s="204">
        <f>MAX(0,MIN(AC64*AB64,AC64*AA64))</f>
        <v>0</v>
      </c>
      <c r="Z64" s="204">
        <v>1000000</v>
      </c>
      <c r="AA64" s="204">
        <f>Z64-Z63</f>
        <v>300000</v>
      </c>
      <c r="AB64" s="204">
        <f>AB63-AA63</f>
        <v>-77560</v>
      </c>
      <c r="AC64" s="205">
        <v>0.1</v>
      </c>
      <c r="AD64"/>
    </row>
    <row r="65" spans="1:30" s="7" customFormat="1" ht="14.25" customHeight="1">
      <c r="A65" s="52" t="s">
        <v>568</v>
      </c>
      <c r="B65" s="52"/>
      <c r="C65" s="52"/>
      <c r="D65" s="52"/>
      <c r="E65" s="52"/>
      <c r="F65" s="52"/>
      <c r="G65" s="148"/>
      <c r="H65" s="170" t="s">
        <v>316</v>
      </c>
      <c r="I65" s="180">
        <f>SUM('Salary Details'!$R$27)</f>
        <v>22000</v>
      </c>
      <c r="Q65" s="24"/>
      <c r="R65" s="24"/>
      <c r="S65" s="213">
        <v>500000</v>
      </c>
      <c r="T65" s="24"/>
      <c r="X65" s="200" t="s">
        <v>569</v>
      </c>
      <c r="Y65" s="204">
        <f>MAX(0,MIN(AC65*AB65,AC65*AA65))</f>
        <v>0</v>
      </c>
      <c r="Z65" s="204">
        <v>1200000</v>
      </c>
      <c r="AA65" s="204">
        <f>Z65-Z64</f>
        <v>200000</v>
      </c>
      <c r="AB65" s="204">
        <f>AB64-AA64</f>
        <v>-377560</v>
      </c>
      <c r="AC65" s="205">
        <v>0.15</v>
      </c>
      <c r="AD65"/>
    </row>
    <row r="66" spans="1:30" s="130" customFormat="1" ht="15.75" customHeight="1">
      <c r="A66" s="206" t="s">
        <v>570</v>
      </c>
      <c r="B66" s="206"/>
      <c r="C66" s="206"/>
      <c r="D66" s="206"/>
      <c r="E66" s="206"/>
      <c r="F66" s="206"/>
      <c r="G66" s="207"/>
      <c r="H66" s="170" t="s">
        <v>316</v>
      </c>
      <c r="I66" s="180">
        <f>SUM(I64)-I65</f>
        <v>-22000</v>
      </c>
      <c r="Q66" s="214" cm="1">
        <f t="array" ref="Q66">MAX(SUM(IF(S53&gt;80,Y68(IF(S53&gt;60,Y68,Y68)))*I54),0)</f>
        <v>0</v>
      </c>
      <c r="R66" s="45"/>
      <c r="S66" s="45"/>
      <c r="T66" s="214">
        <f>MAX(SUM(IF(S53&gt;80,Y68,(IF(S53&gt;60,Y68,Y68))),I54),0)</f>
        <v>0</v>
      </c>
      <c r="U66" s="45"/>
      <c r="X66" s="200" t="s">
        <v>571</v>
      </c>
      <c r="Y66" s="204">
        <f>MAX(0,MIN(AC66*AB66,AC66*AA66))</f>
        <v>0</v>
      </c>
      <c r="Z66" s="204">
        <v>1500000</v>
      </c>
      <c r="AA66" s="204">
        <f>Z66-Z65</f>
        <v>300000</v>
      </c>
      <c r="AB66" s="204">
        <f>AB65-AA65</f>
        <v>-577560</v>
      </c>
      <c r="AC66" s="205">
        <v>0.2</v>
      </c>
      <c r="AD66" s="64"/>
    </row>
    <row r="67" spans="1:30" s="130" customFormat="1" ht="16.5" customHeight="1">
      <c r="A67" s="206" t="s">
        <v>572</v>
      </c>
      <c r="B67" s="52"/>
      <c r="C67" s="52"/>
      <c r="D67" s="52"/>
      <c r="E67" s="52"/>
      <c r="F67" s="206"/>
      <c r="G67" s="93"/>
      <c r="H67" s="170" t="s">
        <v>316</v>
      </c>
      <c r="I67" s="180">
        <f>ROUNDUP(IF(I66&lt;=0,0,I66),0-1)</f>
        <v>0</v>
      </c>
      <c r="Q67" s="214"/>
      <c r="R67" s="45"/>
      <c r="S67" s="45"/>
      <c r="T67" s="214"/>
      <c r="U67" s="45"/>
      <c r="X67" s="200" t="s">
        <v>573</v>
      </c>
      <c r="Y67" s="204">
        <f>MAX(0,MIN(AC67*AB67,AC67*AA67))</f>
        <v>0</v>
      </c>
      <c r="Z67" s="204">
        <v>15000001</v>
      </c>
      <c r="AA67" s="204">
        <f>Z67-Z66</f>
        <v>13500001</v>
      </c>
      <c r="AB67" s="204">
        <f>AB66-AA66</f>
        <v>-877560</v>
      </c>
      <c r="AC67" s="205">
        <v>0.3</v>
      </c>
      <c r="AD67" s="64"/>
    </row>
    <row r="68" spans="1:30" s="7" customFormat="1" ht="16.5" customHeight="1">
      <c r="A68" s="208" t="s">
        <v>574</v>
      </c>
      <c r="B68" s="208"/>
      <c r="C68" s="208"/>
      <c r="D68" s="208"/>
      <c r="E68" s="208"/>
      <c r="F68" s="208"/>
      <c r="G68" s="209"/>
      <c r="H68" s="210" t="s">
        <v>316</v>
      </c>
      <c r="I68" s="212">
        <f>ROUNDUP(IF(I67&lt;=0,0,I67),0-0)</f>
        <v>0</v>
      </c>
      <c r="N68" s="7" t="b">
        <f>IF(I52&gt;=5000000,IF(I52&lt;5000000,ROUND((I52)*10%,0)))</f>
        <v>0</v>
      </c>
      <c r="Q68" s="24">
        <f>IF(I52&gt;=10000000,I52*15%,(IF(I52&gt;=5000000,I52*10%,0)))</f>
        <v>0</v>
      </c>
      <c r="R68" s="24"/>
      <c r="S68" s="24"/>
      <c r="T68" s="24"/>
      <c r="U68" s="24"/>
      <c r="X68" s="200" t="s">
        <v>372</v>
      </c>
      <c r="Y68" s="219">
        <f>SUM(Y62:Y67)</f>
        <v>16122</v>
      </c>
      <c r="Z68" s="204"/>
      <c r="AA68" s="204"/>
      <c r="AB68" s="204"/>
      <c r="AC68" s="220"/>
      <c r="AD68"/>
    </row>
    <row r="69" spans="1:30" s="7" customFormat="1" ht="12.75" customHeight="1">
      <c r="A69" s="52" t="s">
        <v>396</v>
      </c>
      <c r="B69" s="52"/>
      <c r="C69" s="52"/>
      <c r="D69" s="52"/>
      <c r="E69" s="52"/>
      <c r="F69" s="52"/>
      <c r="G69" s="52"/>
      <c r="H69" s="52"/>
      <c r="I69" s="75"/>
      <c r="Q69" s="24">
        <f>IF(I52&gt;1000000,(I52-1000000)*30/100,0)</f>
        <v>0</v>
      </c>
      <c r="R69" s="24"/>
      <c r="S69" s="24"/>
      <c r="T69" s="24"/>
      <c r="U69" s="24"/>
      <c r="X69"/>
      <c r="AD69"/>
    </row>
    <row r="70" spans="1:30" s="7" customFormat="1" ht="15" customHeight="1">
      <c r="A70" s="75" t="s">
        <v>397</v>
      </c>
      <c r="B70" s="75"/>
      <c r="C70" s="52"/>
      <c r="D70" s="52"/>
      <c r="E70" s="52"/>
      <c r="F70" s="1133" t="s">
        <v>397</v>
      </c>
      <c r="G70" s="1133"/>
      <c r="H70" s="75"/>
      <c r="I70" s="75"/>
      <c r="Q70" s="24"/>
      <c r="R70" s="24"/>
      <c r="S70" s="24"/>
      <c r="T70" s="24">
        <f>-IF(I52&lt;=700000,25000,0)</f>
        <v>-25000</v>
      </c>
      <c r="U70" s="24"/>
      <c r="X70"/>
    </row>
    <row r="71" spans="1:30" s="7" customFormat="1" ht="13.5" customHeight="1">
      <c r="A71" s="1168" t="str">
        <f>R7</f>
        <v>Principal</v>
      </c>
      <c r="B71" s="1168"/>
      <c r="C71" s="1168"/>
      <c r="D71" s="52"/>
      <c r="E71" s="52"/>
      <c r="F71" s="1133" t="s">
        <v>398</v>
      </c>
      <c r="G71" s="1133"/>
      <c r="H71" s="52" t="str">
        <f>'Personal Information'!$C$3</f>
        <v>VIKAS</v>
      </c>
      <c r="I71" s="52"/>
      <c r="Q71" s="197">
        <f>IF(I52&lt;350000,#REF!,IF(I52=350000,#REF!,IF(I52&gt;350000,0)))</f>
        <v>0</v>
      </c>
      <c r="R71" s="51">
        <f>IF(Q71&gt;2500,2500,IF(Q71=2500,2500,IF(Q71&lt;2500,0,0)))</f>
        <v>0</v>
      </c>
      <c r="S71" s="24"/>
      <c r="T71" s="24"/>
      <c r="U71" s="24"/>
      <c r="X71"/>
    </row>
    <row r="72" spans="1:30" s="7" customFormat="1" ht="15.75" customHeight="1">
      <c r="A72" s="75"/>
      <c r="B72" s="75"/>
      <c r="C72" s="75"/>
      <c r="D72" s="75"/>
      <c r="E72" s="75"/>
      <c r="F72" s="1133" t="s">
        <v>311</v>
      </c>
      <c r="G72" s="1133"/>
      <c r="H72" s="52">
        <f>'Personal Information'!$C$6</f>
        <v>0</v>
      </c>
      <c r="I72" s="52"/>
      <c r="Q72" s="24"/>
      <c r="R72" s="24"/>
      <c r="S72" s="24"/>
      <c r="T72" s="24"/>
      <c r="U72" s="24"/>
      <c r="X72" s="215"/>
      <c r="Y72" s="142"/>
      <c r="Z72" s="142"/>
      <c r="AA72" s="142"/>
      <c r="AB72" s="142"/>
      <c r="AC72" s="142"/>
    </row>
    <row r="73" spans="1:30" s="142" customFormat="1" ht="18" customHeight="1">
      <c r="A73" s="75"/>
      <c r="B73" s="75"/>
      <c r="C73" s="75"/>
      <c r="D73" s="75"/>
      <c r="E73" s="1133" t="s">
        <v>309</v>
      </c>
      <c r="F73" s="1133"/>
      <c r="G73" s="1133"/>
      <c r="H73" s="180" t="str">
        <f>'Salary Details'!$O32</f>
        <v>0 0 TEHRI</v>
      </c>
      <c r="I73" s="52"/>
      <c r="Q73" s="216" t="e">
        <f>(#REF!*4%)</f>
        <v>#REF!</v>
      </c>
      <c r="R73" s="217"/>
      <c r="S73" s="217"/>
      <c r="T73" s="217"/>
      <c r="U73" s="217"/>
      <c r="X73"/>
      <c r="Y73" s="7"/>
      <c r="Z73" s="7"/>
      <c r="AA73" s="7"/>
      <c r="AB73" s="7"/>
      <c r="AC73" s="7"/>
    </row>
    <row r="74" spans="1:30" s="7" customFormat="1" ht="15.75" customHeight="1">
      <c r="A74" s="75"/>
      <c r="B74" s="75"/>
      <c r="C74" s="75"/>
      <c r="D74" s="75"/>
      <c r="E74" s="75"/>
      <c r="F74" s="75"/>
      <c r="G74" s="75"/>
      <c r="H74" s="159" t="str">
        <f>'Personal Information'!$C$23</f>
        <v>TEHRI</v>
      </c>
      <c r="I74" s="180"/>
      <c r="Q74" s="24"/>
      <c r="R74" s="24"/>
      <c r="S74" s="24"/>
      <c r="T74" s="24"/>
      <c r="U74" s="24"/>
      <c r="X74"/>
    </row>
    <row r="75" spans="1:30" s="7" customFormat="1" ht="15.75" hidden="1" customHeight="1">
      <c r="Q75" s="95">
        <f>ROUND((I63),-1)</f>
        <v>0</v>
      </c>
      <c r="R75" s="95">
        <f>(ROUND((I63+10),-1))</f>
        <v>10</v>
      </c>
      <c r="S75" s="24"/>
      <c r="T75" s="24"/>
      <c r="U75" s="24"/>
      <c r="W75" s="200" t="s">
        <v>573</v>
      </c>
      <c r="X75" s="204">
        <f>MAX(0,MIN(AB75*AA75,AB75*Z75))</f>
        <v>0</v>
      </c>
      <c r="Y75" s="204">
        <v>15000001</v>
      </c>
      <c r="Z75" s="204">
        <v>1500001</v>
      </c>
      <c r="AA75" s="204"/>
      <c r="AB75" s="205">
        <v>0.1</v>
      </c>
    </row>
    <row r="76" spans="1:30" s="7" customFormat="1" ht="16.5" customHeight="1">
      <c r="Q76" s="24"/>
      <c r="R76" s="24"/>
      <c r="S76" s="24"/>
      <c r="T76" s="24"/>
      <c r="U76" s="24"/>
      <c r="X76" t="s">
        <v>575</v>
      </c>
    </row>
    <row r="77" spans="1:30" s="7" customFormat="1" ht="12.75" customHeight="1">
      <c r="Q77" s="24"/>
      <c r="R77" s="24"/>
      <c r="S77" s="24"/>
      <c r="T77" s="24"/>
      <c r="U77" s="24"/>
      <c r="X77"/>
    </row>
    <row r="78" spans="1:30" s="7" customFormat="1" ht="12.75" customHeight="1">
      <c r="Q78" s="24"/>
      <c r="R78" s="24"/>
      <c r="S78" s="24"/>
      <c r="T78" s="24"/>
      <c r="U78" s="24"/>
    </row>
    <row r="79" spans="1:30" s="7" customFormat="1" ht="12.75" customHeight="1">
      <c r="A79" s="124"/>
      <c r="E79" s="211"/>
      <c r="F79" s="211"/>
      <c r="Q79" s="24"/>
      <c r="R79" s="24"/>
      <c r="S79" s="24"/>
      <c r="T79" s="24"/>
      <c r="U79" s="24"/>
      <c r="AD79"/>
    </row>
    <row r="80" spans="1:30" s="7" customFormat="1" hidden="1">
      <c r="J80" s="51"/>
      <c r="K80" s="51"/>
      <c r="L80" s="51"/>
      <c r="M80" s="51"/>
      <c r="N80" s="51"/>
      <c r="O80" s="51"/>
      <c r="P80" s="51"/>
      <c r="Q80" s="24"/>
      <c r="R80" s="24"/>
      <c r="S80" s="24"/>
      <c r="T80" s="24"/>
      <c r="U80" s="24"/>
      <c r="X80" s="218">
        <f>Z67*AC64</f>
        <v>1500000.1</v>
      </c>
    </row>
    <row r="81" spans="1:32" s="7" customFormat="1">
      <c r="Q81" s="24"/>
      <c r="R81" s="24"/>
      <c r="S81" s="24"/>
      <c r="T81" s="24"/>
      <c r="U81" s="24"/>
    </row>
    <row r="82" spans="1:32" s="7" customFormat="1">
      <c r="A82"/>
      <c r="B82"/>
      <c r="C82"/>
      <c r="D82"/>
      <c r="E82"/>
      <c r="F82"/>
      <c r="G82"/>
      <c r="H82"/>
      <c r="I82"/>
      <c r="J82" s="130"/>
      <c r="K82" s="130"/>
      <c r="L82" s="130"/>
      <c r="M82" s="130"/>
      <c r="N82" s="130"/>
      <c r="O82" s="130"/>
      <c r="P82" s="130"/>
      <c r="Q82" s="24"/>
      <c r="R82" s="24"/>
      <c r="S82" s="24"/>
      <c r="T82" s="24"/>
      <c r="U82" s="24"/>
    </row>
    <row r="83" spans="1:32" s="7" customFormat="1" ht="9.75" customHeight="1">
      <c r="A83"/>
      <c r="B83"/>
      <c r="C83"/>
      <c r="D83"/>
      <c r="E83"/>
      <c r="F83"/>
      <c r="G83"/>
      <c r="H83"/>
      <c r="I83"/>
      <c r="J83" s="130"/>
      <c r="K83" s="130"/>
      <c r="L83" s="130"/>
      <c r="M83" s="130"/>
      <c r="N83" s="130"/>
      <c r="O83" s="130"/>
      <c r="P83" s="130"/>
      <c r="Q83" s="24"/>
      <c r="R83" s="24"/>
      <c r="S83" s="24"/>
      <c r="T83" s="24"/>
      <c r="U83" s="24"/>
      <c r="AD83"/>
      <c r="AE83"/>
      <c r="AF83"/>
    </row>
    <row r="84" spans="1:32" s="7" customFormat="1" ht="11.25" customHeight="1">
      <c r="A84"/>
      <c r="B84"/>
      <c r="C84"/>
      <c r="D84"/>
      <c r="E84"/>
      <c r="F84"/>
      <c r="G84"/>
      <c r="H84"/>
      <c r="I84"/>
      <c r="J84" s="130"/>
      <c r="K84" s="130"/>
      <c r="L84" s="130"/>
      <c r="M84" s="130"/>
      <c r="N84" s="130"/>
      <c r="O84" s="130"/>
      <c r="P84" s="130"/>
      <c r="Q84" s="24"/>
      <c r="R84" s="24"/>
      <c r="S84" s="24"/>
      <c r="T84" s="24"/>
      <c r="U84" s="24"/>
      <c r="AD84"/>
      <c r="AE84"/>
      <c r="AF84"/>
    </row>
    <row r="85" spans="1:32" s="7" customFormat="1" ht="9.75" customHeight="1">
      <c r="A85"/>
      <c r="B85"/>
      <c r="C85"/>
      <c r="D85"/>
      <c r="E85"/>
      <c r="F85"/>
      <c r="G85"/>
      <c r="H85"/>
      <c r="I85"/>
      <c r="Q85" s="24"/>
      <c r="R85" s="24"/>
      <c r="S85" s="24"/>
      <c r="T85" s="24"/>
      <c r="U85" s="24"/>
      <c r="AD85"/>
      <c r="AE85"/>
      <c r="AF85"/>
    </row>
    <row r="86" spans="1:32" s="7" customFormat="1">
      <c r="A86"/>
      <c r="B86"/>
      <c r="C86"/>
      <c r="D86"/>
      <c r="E86"/>
      <c r="F86"/>
      <c r="G86"/>
      <c r="H86"/>
      <c r="I86"/>
      <c r="AD86"/>
      <c r="AE86"/>
      <c r="AF86"/>
    </row>
    <row r="87" spans="1:32" s="7" customFormat="1">
      <c r="A87"/>
      <c r="B87"/>
      <c r="C87"/>
      <c r="D87"/>
      <c r="E87"/>
      <c r="F87"/>
      <c r="G87"/>
      <c r="H87"/>
      <c r="I87"/>
      <c r="AD87"/>
      <c r="AE87"/>
      <c r="AF87"/>
    </row>
    <row r="88" spans="1:32" s="7" customFormat="1">
      <c r="A88"/>
      <c r="B88"/>
      <c r="C88"/>
      <c r="D88"/>
      <c r="E88"/>
      <c r="F88"/>
      <c r="G88"/>
      <c r="H88"/>
      <c r="I88"/>
      <c r="AD88"/>
      <c r="AE88"/>
      <c r="AF88"/>
    </row>
    <row r="89" spans="1:32" s="7" customFormat="1">
      <c r="A89"/>
      <c r="B89"/>
      <c r="C89"/>
      <c r="D89"/>
      <c r="E89"/>
      <c r="F89"/>
      <c r="G89"/>
      <c r="H89"/>
      <c r="I89"/>
      <c r="AD89"/>
      <c r="AE89"/>
      <c r="AF89"/>
    </row>
    <row r="90" spans="1:32" s="7" customFormat="1">
      <c r="A90"/>
      <c r="B90"/>
      <c r="C90"/>
      <c r="D90"/>
      <c r="E90"/>
      <c r="F90"/>
      <c r="G90"/>
      <c r="H90"/>
      <c r="I90"/>
      <c r="X90"/>
      <c r="Y90"/>
      <c r="Z90"/>
      <c r="AA90"/>
      <c r="AB90"/>
      <c r="AC90"/>
      <c r="AD90"/>
      <c r="AE90"/>
      <c r="AF90"/>
    </row>
    <row r="91" spans="1:32" s="7" customFormat="1">
      <c r="A91"/>
      <c r="B91"/>
      <c r="C91"/>
      <c r="D91"/>
      <c r="E91"/>
      <c r="F91"/>
      <c r="G91"/>
      <c r="H91"/>
      <c r="I91"/>
      <c r="X91"/>
      <c r="Y91"/>
      <c r="Z91"/>
      <c r="AA91"/>
      <c r="AB91"/>
      <c r="AC91"/>
      <c r="AD91"/>
      <c r="AE91"/>
      <c r="AF91"/>
    </row>
    <row r="92" spans="1:32" s="7" customFormat="1">
      <c r="A92"/>
      <c r="B92"/>
      <c r="C92"/>
      <c r="D92"/>
      <c r="E92"/>
      <c r="F92"/>
      <c r="G92"/>
      <c r="H92"/>
      <c r="I92"/>
      <c r="X92"/>
      <c r="Y92"/>
      <c r="Z92"/>
      <c r="AA92"/>
      <c r="AB92"/>
      <c r="AC92"/>
      <c r="AD92"/>
      <c r="AE92"/>
      <c r="AF92"/>
    </row>
  </sheetData>
  <sheetProtection algorithmName="SHA-512" hashValue="5e5QjwQv8u0HgrG/S3TL3rn0eaqSDZhszLRrLd5Yn5sVTQ9Ssdyb9k7/F+91TDvdegK+IVz4v6aMes3YdDl72A==" saltValue="/3NIqToK0MHfwBznSf8vcA==" spinCount="100000" sheet="1" objects="1" scenarios="1"/>
  <protectedRanges>
    <protectedRange sqref="I20" name="Range8"/>
    <protectedRange sqref="I27:I28" name="Range6"/>
    <protectedRange sqref="I49:I50" name="Range4"/>
    <protectedRange sqref="R43:R44 I35:I44" name="Range3"/>
  </protectedRanges>
  <mergeCells count="24">
    <mergeCell ref="D36:E36"/>
    <mergeCell ref="D37:E37"/>
    <mergeCell ref="D38:E38"/>
    <mergeCell ref="F2:I2"/>
    <mergeCell ref="D3:F3"/>
    <mergeCell ref="I3:J3"/>
    <mergeCell ref="D4:E4"/>
    <mergeCell ref="A18:F18"/>
    <mergeCell ref="F72:G72"/>
    <mergeCell ref="E73:G73"/>
    <mergeCell ref="X3:Z4"/>
    <mergeCell ref="B50:F50"/>
    <mergeCell ref="A58:B58"/>
    <mergeCell ref="A59:B59"/>
    <mergeCell ref="F70:G70"/>
    <mergeCell ref="A71:C71"/>
    <mergeCell ref="F71:G71"/>
    <mergeCell ref="D39:E39"/>
    <mergeCell ref="D40:E40"/>
    <mergeCell ref="D41:E41"/>
    <mergeCell ref="D42:F42"/>
    <mergeCell ref="A49:G49"/>
    <mergeCell ref="A28:F28"/>
    <mergeCell ref="D35:E35"/>
  </mergeCells>
  <hyperlinks>
    <hyperlink ref="X3:Z4" location="'Personal Information'!A1" display="Back to Home Page" xr:uid="{00000000-0004-0000-0700-000000000000}"/>
  </hyperlinks>
  <pageMargins left="0.511811023622047" right="0" top="0.70866141732283505" bottom="0" header="0.511811023622047" footer="0.511811023622047"/>
  <pageSetup paperSize="9" scale="89" orientation="portrait" horizontalDpi="180" verticalDpi="180" r:id="rId1"/>
  <headerFooter alignWithMargins="0">
    <oddHeader>&amp;R&amp;"Arial,Bold"VIKAS DABRAL.www.emou.co.in&amp;"Arial,Regular"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tabColor theme="9" tint="-0.249977111117893"/>
  </sheetPr>
  <dimension ref="A1:CI164"/>
  <sheetViews>
    <sheetView showGridLines="0" view="pageBreakPreview" zoomScaleNormal="100" workbookViewId="0">
      <selection activeCell="B1" sqref="B1:AK134"/>
    </sheetView>
  </sheetViews>
  <sheetFormatPr defaultColWidth="9" defaultRowHeight="12.75"/>
  <cols>
    <col min="1" max="1" width="1.140625" customWidth="1"/>
    <col min="2" max="2" width="4" customWidth="1"/>
    <col min="3" max="3" width="2.7109375" customWidth="1"/>
    <col min="4" max="8" width="2.85546875" customWidth="1"/>
    <col min="9" max="9" width="3" customWidth="1"/>
    <col min="10" max="10" width="2.28515625" customWidth="1"/>
    <col min="11" max="12" width="3" customWidth="1"/>
    <col min="13" max="13" width="2.5703125" customWidth="1"/>
    <col min="14" max="16" width="2.85546875" customWidth="1"/>
    <col min="17" max="17" width="3" customWidth="1"/>
    <col min="18" max="18" width="2.85546875" customWidth="1"/>
    <col min="19" max="19" width="3" customWidth="1"/>
    <col min="20" max="20" width="2.28515625" customWidth="1"/>
    <col min="21" max="21" width="2.5703125" customWidth="1"/>
    <col min="22" max="22" width="3.140625" customWidth="1"/>
    <col min="23" max="25" width="2.85546875" customWidth="1"/>
    <col min="26" max="26" width="2.42578125" customWidth="1"/>
    <col min="27" max="27" width="2.7109375" customWidth="1"/>
    <col min="28" max="29" width="2.5703125" customWidth="1"/>
    <col min="30" max="30" width="2.85546875" customWidth="1"/>
    <col min="31" max="31" width="3" customWidth="1"/>
    <col min="32" max="34" width="2.85546875" customWidth="1"/>
    <col min="35" max="36" width="2.42578125" customWidth="1"/>
    <col min="37" max="37" width="2.28515625" customWidth="1"/>
    <col min="38" max="38" width="3.5703125" hidden="1" customWidth="1"/>
    <col min="39" max="39" width="9.140625" hidden="1" customWidth="1"/>
    <col min="40" max="40" width="6.140625" hidden="1" customWidth="1"/>
    <col min="41" max="41" width="9.140625" hidden="1" customWidth="1"/>
    <col min="42" max="42" width="8.7109375" hidden="1" customWidth="1"/>
    <col min="43" max="43" width="10" hidden="1" customWidth="1"/>
    <col min="44" max="44" width="8.28515625" hidden="1" customWidth="1"/>
    <col min="45" max="45" width="6" hidden="1" customWidth="1"/>
    <col min="46" max="46" width="6.7109375" hidden="1" customWidth="1"/>
    <col min="47" max="47" width="3.28515625" hidden="1" customWidth="1"/>
    <col min="48" max="48" width="3.5703125" hidden="1" customWidth="1"/>
    <col min="49" max="49" width="3.7109375" hidden="1" customWidth="1"/>
    <col min="50" max="50" width="3.5703125" hidden="1" customWidth="1"/>
    <col min="51" max="51" width="3.42578125" hidden="1" customWidth="1"/>
    <col min="52" max="52" width="4.28515625" hidden="1" customWidth="1"/>
    <col min="53" max="53" width="4" hidden="1" customWidth="1"/>
    <col min="54" max="54" width="3.42578125" hidden="1" customWidth="1"/>
    <col min="55" max="55" width="6.85546875" hidden="1" customWidth="1"/>
    <col min="56" max="56" width="3.7109375" hidden="1" customWidth="1"/>
    <col min="57" max="57" width="2.7109375" hidden="1" customWidth="1"/>
    <col min="58" max="58" width="3.140625" hidden="1" customWidth="1"/>
    <col min="59" max="59" width="3" hidden="1" customWidth="1"/>
    <col min="60" max="60" width="3.28515625" hidden="1" customWidth="1"/>
    <col min="61" max="61" width="3" hidden="1" customWidth="1"/>
    <col min="62" max="62" width="3.42578125" hidden="1" customWidth="1"/>
    <col min="63" max="63" width="3.85546875" hidden="1" customWidth="1"/>
    <col min="64" max="64" width="3.28515625" hidden="1" customWidth="1"/>
    <col min="65" max="65" width="4.140625" hidden="1" customWidth="1"/>
    <col min="66" max="66" width="3.85546875" hidden="1" customWidth="1"/>
    <col min="67" max="67" width="10.7109375" hidden="1" customWidth="1"/>
    <col min="68" max="68" width="4.140625" hidden="1" customWidth="1"/>
    <col min="69" max="69" width="3.42578125" hidden="1" customWidth="1"/>
    <col min="70" max="70" width="3.5703125" hidden="1" customWidth="1"/>
    <col min="71" max="71" width="3.140625" hidden="1" customWidth="1"/>
    <col min="72" max="72" width="4.28515625" hidden="1" customWidth="1"/>
    <col min="73" max="84" width="9.140625" hidden="1" customWidth="1"/>
    <col min="85" max="85" width="17.140625" hidden="1" customWidth="1"/>
    <col min="86" max="86" width="24.85546875" customWidth="1"/>
    <col min="87" max="90" width="9.140625" customWidth="1"/>
  </cols>
  <sheetData>
    <row r="1" spans="2:87" ht="15.75" customHeight="1">
      <c r="Q1" s="64" t="s">
        <v>399</v>
      </c>
      <c r="R1" s="64"/>
      <c r="S1" s="64"/>
      <c r="AE1" s="1241" t="s">
        <v>576</v>
      </c>
      <c r="AF1" s="1241"/>
      <c r="AG1" s="1241"/>
      <c r="AH1" s="1241"/>
      <c r="AI1" s="1241"/>
      <c r="AJ1" s="1241"/>
      <c r="CG1" s="1147" t="s">
        <v>181</v>
      </c>
      <c r="CH1" s="1147"/>
      <c r="CI1" s="1147"/>
    </row>
    <row r="2" spans="2:87" ht="12" customHeight="1">
      <c r="B2" s="7"/>
      <c r="C2" s="8" t="s">
        <v>400</v>
      </c>
      <c r="D2" s="9"/>
      <c r="E2" s="9"/>
      <c r="F2" s="9"/>
      <c r="G2" s="10"/>
      <c r="H2" s="11"/>
      <c r="I2" s="7"/>
      <c r="J2" s="52" t="s">
        <v>401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75"/>
      <c r="AJ2" s="75"/>
      <c r="AK2" s="7"/>
      <c r="AL2" s="7"/>
      <c r="CG2" s="1147"/>
      <c r="CH2" s="1147"/>
      <c r="CI2" s="1147"/>
    </row>
    <row r="3" spans="2:87" ht="10.5" customHeight="1">
      <c r="B3" s="7"/>
      <c r="C3" s="12" t="s">
        <v>402</v>
      </c>
      <c r="D3" s="13"/>
      <c r="E3" s="13"/>
      <c r="F3" s="13"/>
      <c r="G3" s="13"/>
      <c r="H3" s="14"/>
      <c r="I3" s="7"/>
      <c r="J3" s="52" t="s">
        <v>403</v>
      </c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75"/>
      <c r="AF3" s="75"/>
      <c r="AG3" s="75"/>
      <c r="AH3" s="75"/>
      <c r="AI3" s="75"/>
      <c r="AJ3" s="75"/>
      <c r="AK3" s="7"/>
      <c r="AL3" s="7"/>
    </row>
    <row r="4" spans="2:87" ht="0.75" hidden="1" customHeight="1">
      <c r="B4" s="7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7"/>
      <c r="AL4" s="7"/>
    </row>
    <row r="5" spans="2:87" ht="12" customHeight="1">
      <c r="B5" s="16"/>
      <c r="C5" s="17"/>
      <c r="D5" s="18" t="s">
        <v>404</v>
      </c>
      <c r="E5" s="18"/>
      <c r="F5" s="18"/>
      <c r="G5" s="18"/>
      <c r="H5" s="18"/>
      <c r="I5" s="18"/>
      <c r="J5" s="18"/>
      <c r="K5" s="18"/>
      <c r="L5" s="18"/>
      <c r="M5" s="18"/>
      <c r="N5" s="53"/>
      <c r="O5" s="35" t="s">
        <v>405</v>
      </c>
      <c r="P5" s="31"/>
      <c r="Q5" s="31"/>
      <c r="R5" s="46"/>
      <c r="S5" s="46"/>
      <c r="T5" s="31"/>
      <c r="U5" s="31"/>
      <c r="V5" s="31"/>
      <c r="W5" s="31"/>
      <c r="X5" s="36"/>
      <c r="Y5" s="35" t="s">
        <v>406</v>
      </c>
      <c r="Z5" s="31"/>
      <c r="AA5" s="31"/>
      <c r="AB5" s="31"/>
      <c r="AC5" s="31"/>
      <c r="AD5" s="31"/>
      <c r="AE5" s="31"/>
      <c r="AF5" s="46"/>
      <c r="AG5" s="46"/>
      <c r="AH5" s="46"/>
      <c r="AI5" s="46"/>
      <c r="AJ5" s="59"/>
      <c r="AK5" s="7"/>
      <c r="AL5" s="7"/>
      <c r="CB5" s="104"/>
      <c r="CC5" s="7"/>
      <c r="CD5" s="7"/>
      <c r="CE5" s="7"/>
      <c r="CF5" s="7"/>
      <c r="CG5" s="7"/>
      <c r="CH5" s="7"/>
    </row>
    <row r="6" spans="2:87" ht="9.75" customHeight="1">
      <c r="B6" s="16"/>
      <c r="C6" s="19"/>
      <c r="D6" s="1218" t="str">
        <f>'Personal Information'!$T$31</f>
        <v>Director</v>
      </c>
      <c r="E6" s="1218"/>
      <c r="F6" s="1218"/>
      <c r="G6" s="1218"/>
      <c r="H6" s="1218"/>
      <c r="I6" s="1218"/>
      <c r="J6" s="1218"/>
      <c r="K6" s="1218"/>
      <c r="L6" s="1218"/>
      <c r="M6" s="1218"/>
      <c r="N6" s="54"/>
      <c r="O6" s="55">
        <f>'Personal Information'!$C$34</f>
        <v>0</v>
      </c>
      <c r="P6" s="55">
        <f>'Personal Information'!$D$34</f>
        <v>0</v>
      </c>
      <c r="Q6" s="55">
        <f>'Personal Information'!$E$34</f>
        <v>0</v>
      </c>
      <c r="R6" s="65">
        <f>'Personal Information'!$F$34</f>
        <v>0</v>
      </c>
      <c r="S6" s="55">
        <f>'Personal Information'!$G$34</f>
        <v>0</v>
      </c>
      <c r="T6" s="55">
        <f>'Personal Information'!$H$34</f>
        <v>0</v>
      </c>
      <c r="U6" s="55">
        <f>'Personal Information'!$I$34</f>
        <v>0</v>
      </c>
      <c r="V6" s="55">
        <f>'Personal Information'!$J$34</f>
        <v>0</v>
      </c>
      <c r="W6" s="55">
        <f>'Personal Information'!$K$34</f>
        <v>0</v>
      </c>
      <c r="X6" s="65">
        <f>'Personal Information'!$L$34</f>
        <v>0</v>
      </c>
      <c r="Y6" s="1219" t="str">
        <f>'Personal Information'!$C$3</f>
        <v>VIKAS</v>
      </c>
      <c r="Z6" s="1139"/>
      <c r="AA6" s="1139"/>
      <c r="AB6" s="1139"/>
      <c r="AC6" s="1139"/>
      <c r="AD6" s="1139"/>
      <c r="AE6" s="1139"/>
      <c r="AF6" s="1139"/>
      <c r="AG6" s="1139"/>
      <c r="AH6" s="1139"/>
      <c r="AI6" s="1139"/>
      <c r="AJ6" s="48"/>
      <c r="AK6" s="7"/>
      <c r="AL6" s="7"/>
    </row>
    <row r="7" spans="2:87" ht="10.5" customHeight="1">
      <c r="B7" s="16"/>
      <c r="C7" s="20"/>
      <c r="D7" s="1220" t="str">
        <f>'Personal Information'!$T$32</f>
        <v>Department of Education</v>
      </c>
      <c r="E7" s="1220"/>
      <c r="F7" s="1220"/>
      <c r="G7" s="1220"/>
      <c r="H7" s="1220"/>
      <c r="I7" s="1220"/>
      <c r="J7" s="1220"/>
      <c r="K7" s="1220"/>
      <c r="L7" s="1220"/>
      <c r="M7" s="1220"/>
      <c r="N7" s="1221"/>
      <c r="O7" s="56"/>
      <c r="P7" s="46"/>
      <c r="Q7" s="46"/>
      <c r="R7" s="46"/>
      <c r="S7" s="46"/>
      <c r="T7" s="46"/>
      <c r="U7" s="46"/>
      <c r="V7" s="46"/>
      <c r="W7" s="46"/>
      <c r="X7" s="59"/>
      <c r="Y7" s="1222">
        <f>'Personal Information'!$C$6</f>
        <v>0</v>
      </c>
      <c r="Z7" s="1223"/>
      <c r="AA7" s="1223"/>
      <c r="AB7" s="1223"/>
      <c r="AC7" s="1223"/>
      <c r="AD7" s="1223"/>
      <c r="AE7" s="1223"/>
      <c r="AF7" s="1223"/>
      <c r="AG7" s="1223"/>
      <c r="AH7" s="1223"/>
      <c r="AI7" s="1223"/>
      <c r="AJ7" s="58"/>
      <c r="AK7" s="7"/>
      <c r="AL7" s="7"/>
    </row>
    <row r="8" spans="2:87" ht="10.5" customHeight="1">
      <c r="B8" s="16"/>
      <c r="C8" s="20"/>
      <c r="D8" s="21" t="str">
        <f>'Personal Information'!$T$33</f>
        <v>Uttarakhand</v>
      </c>
      <c r="E8" s="21"/>
      <c r="F8" s="21"/>
      <c r="G8" s="21"/>
      <c r="H8" s="21"/>
      <c r="I8" s="21"/>
      <c r="J8" s="21"/>
      <c r="K8" s="21"/>
      <c r="L8" s="21"/>
      <c r="M8" s="21"/>
      <c r="N8" s="57"/>
      <c r="O8" s="22" t="s">
        <v>407</v>
      </c>
      <c r="P8" s="23"/>
      <c r="Q8" s="23"/>
      <c r="R8" s="23"/>
      <c r="S8" s="23"/>
      <c r="T8" s="23"/>
      <c r="U8" s="23"/>
      <c r="V8" s="23"/>
      <c r="W8" s="23"/>
      <c r="X8" s="58"/>
      <c r="Y8" s="23" t="s">
        <v>408</v>
      </c>
      <c r="Z8" s="23"/>
      <c r="AA8" s="23"/>
      <c r="AB8" s="23"/>
      <c r="AC8" s="23"/>
      <c r="AD8" s="23"/>
      <c r="AE8" s="23"/>
      <c r="AF8" s="23"/>
      <c r="AG8" s="23"/>
      <c r="AH8" s="23"/>
      <c r="AI8" s="24"/>
      <c r="AJ8" s="48"/>
      <c r="AK8" s="7"/>
      <c r="AL8" s="7"/>
      <c r="AM8" s="90"/>
    </row>
    <row r="9" spans="2:87" ht="9.75" customHeight="1">
      <c r="B9" s="16"/>
      <c r="C9" s="22"/>
      <c r="D9" s="23"/>
      <c r="E9" s="23"/>
      <c r="F9" s="23"/>
      <c r="G9" s="23"/>
      <c r="H9" s="23"/>
      <c r="I9" s="23"/>
      <c r="J9" s="23"/>
      <c r="K9" s="23"/>
      <c r="L9" s="23"/>
      <c r="M9" s="23"/>
      <c r="N9" s="58"/>
      <c r="O9" s="55">
        <f>'Personal Information'!$C$24</f>
        <v>0</v>
      </c>
      <c r="P9" s="55">
        <f>'Personal Information'!$D$24</f>
        <v>0</v>
      </c>
      <c r="Q9" s="55">
        <f>'Personal Information'!$E$24</f>
        <v>0</v>
      </c>
      <c r="R9" s="55">
        <f>'Personal Information'!$F$24</f>
        <v>0</v>
      </c>
      <c r="S9" s="55">
        <f>'Personal Information'!$G$24</f>
        <v>0</v>
      </c>
      <c r="T9" s="55">
        <f>'Personal Information'!$H$24</f>
        <v>0</v>
      </c>
      <c r="U9" s="55">
        <f>'Personal Information'!$I$24</f>
        <v>0</v>
      </c>
      <c r="V9" s="55">
        <f>'Personal Information'!$J$24</f>
        <v>0</v>
      </c>
      <c r="W9" s="55">
        <f>'Personal Information'!$K$24</f>
        <v>0</v>
      </c>
      <c r="X9" s="65">
        <f>'Personal Information'!$L$24</f>
        <v>0</v>
      </c>
      <c r="Y9" s="76">
        <f>'Personal Information'!$C$8</f>
        <v>0</v>
      </c>
      <c r="Z9" s="76">
        <f>'Personal Information'!$D$8</f>
        <v>0</v>
      </c>
      <c r="AA9" s="76">
        <f>'Personal Information'!$E$8</f>
        <v>0</v>
      </c>
      <c r="AB9" s="76">
        <f>'Personal Information'!$F$8</f>
        <v>0</v>
      </c>
      <c r="AC9" s="76">
        <f>'Personal Information'!$G$8</f>
        <v>0</v>
      </c>
      <c r="AD9" s="76">
        <f>'Personal Information'!$H$8</f>
        <v>0</v>
      </c>
      <c r="AE9" s="76">
        <f>'Personal Information'!$I$8</f>
        <v>0</v>
      </c>
      <c r="AF9" s="76">
        <f>'Personal Information'!$J$8</f>
        <v>0</v>
      </c>
      <c r="AG9" s="76">
        <f>'Personal Information'!$K$8</f>
        <v>0</v>
      </c>
      <c r="AH9" s="91">
        <f>'Personal Information'!$L$8</f>
        <v>0</v>
      </c>
      <c r="AI9" s="22"/>
      <c r="AJ9" s="58"/>
      <c r="AK9" s="7"/>
      <c r="AL9" s="7"/>
    </row>
    <row r="10" spans="2:87" ht="10.5" customHeight="1">
      <c r="B10" s="16"/>
      <c r="C10" s="24"/>
      <c r="D10" s="24"/>
      <c r="E10" s="24"/>
      <c r="F10" s="24"/>
      <c r="G10" s="24"/>
      <c r="H10" s="24" t="s">
        <v>409</v>
      </c>
      <c r="I10" s="24"/>
      <c r="J10" s="24"/>
      <c r="K10" s="24"/>
      <c r="L10" s="24"/>
      <c r="M10" s="24"/>
      <c r="N10" s="24"/>
      <c r="O10" s="24"/>
      <c r="P10" s="24"/>
      <c r="Q10" s="53"/>
      <c r="R10" s="56"/>
      <c r="S10" s="46" t="s">
        <v>410</v>
      </c>
      <c r="T10" s="46"/>
      <c r="U10" s="46"/>
      <c r="V10" s="46"/>
      <c r="W10" s="46"/>
      <c r="X10" s="46"/>
      <c r="Y10" s="46"/>
      <c r="Z10" s="59"/>
      <c r="AA10" s="46"/>
      <c r="AB10" s="46"/>
      <c r="AC10" s="46" t="s">
        <v>411</v>
      </c>
      <c r="AD10" s="46"/>
      <c r="AE10" s="46"/>
      <c r="AF10" s="46"/>
      <c r="AG10" s="46"/>
      <c r="AH10" s="46"/>
      <c r="AI10" s="23"/>
      <c r="AJ10" s="58"/>
      <c r="AK10" s="7"/>
      <c r="AL10" s="7"/>
    </row>
    <row r="11" spans="2:87" ht="10.5" customHeight="1">
      <c r="B11" s="16"/>
      <c r="C11" s="24" t="s">
        <v>144</v>
      </c>
      <c r="D11" s="24"/>
      <c r="E11" s="24"/>
      <c r="F11" s="1218" t="s">
        <v>412</v>
      </c>
      <c r="G11" s="1218"/>
      <c r="H11" s="1218"/>
      <c r="I11" s="1218"/>
      <c r="J11" s="1218"/>
      <c r="K11" s="1218"/>
      <c r="L11" s="1218"/>
      <c r="M11" s="1218"/>
      <c r="N11" s="1218"/>
      <c r="O11" s="1218"/>
      <c r="P11" s="1218"/>
      <c r="Q11" s="1224"/>
      <c r="R11" s="1155">
        <f>'Personal Information'!$C$25</f>
        <v>2</v>
      </c>
      <c r="S11" s="1157">
        <f>'Personal Information'!$D$25</f>
        <v>0</v>
      </c>
      <c r="T11" s="1157">
        <f>'Personal Information'!$E$25</f>
        <v>2</v>
      </c>
      <c r="U11" s="1157">
        <v>4</v>
      </c>
      <c r="V11" s="1157" t="s">
        <v>413</v>
      </c>
      <c r="W11" s="1157">
        <f>'Personal Information'!$G$25</f>
        <v>2</v>
      </c>
      <c r="X11" s="1157">
        <f>'Personal Information'!$H$25</f>
        <v>0</v>
      </c>
      <c r="Y11" s="1157">
        <f>'Personal Information'!$I$25</f>
        <v>2</v>
      </c>
      <c r="Z11" s="1228">
        <f>'Personal Information'!$J$25</f>
        <v>6</v>
      </c>
      <c r="AA11" s="23"/>
      <c r="AB11" s="23" t="s">
        <v>414</v>
      </c>
      <c r="AC11" s="23"/>
      <c r="AD11" s="46"/>
      <c r="AE11" s="59"/>
      <c r="AF11" s="23"/>
      <c r="AG11" s="23" t="s">
        <v>415</v>
      </c>
      <c r="AH11" s="23"/>
      <c r="AI11" s="23"/>
      <c r="AJ11" s="58"/>
      <c r="AK11" s="7"/>
      <c r="AL11" s="7"/>
    </row>
    <row r="12" spans="2:87" ht="12.75" customHeight="1">
      <c r="B12" s="16"/>
      <c r="C12" s="25"/>
      <c r="D12" s="26"/>
      <c r="E12" s="26"/>
      <c r="F12" s="1225" t="s">
        <v>416</v>
      </c>
      <c r="G12" s="1225"/>
      <c r="H12" s="1225"/>
      <c r="I12" s="1225"/>
      <c r="J12" s="1225"/>
      <c r="K12" s="1225"/>
      <c r="L12" s="1225"/>
      <c r="M12" s="1225"/>
      <c r="N12" s="1225"/>
      <c r="O12" s="1225"/>
      <c r="P12" s="1225"/>
      <c r="Q12" s="1226"/>
      <c r="R12" s="1156"/>
      <c r="S12" s="1158"/>
      <c r="T12" s="1158"/>
      <c r="U12" s="1158"/>
      <c r="V12" s="1158"/>
      <c r="W12" s="1158"/>
      <c r="X12" s="1158"/>
      <c r="Y12" s="1158"/>
      <c r="Z12" s="1229"/>
      <c r="AA12" s="1148" t="str">
        <f>'Personal Information'!$C$28</f>
        <v>01 - 04 - 2024</v>
      </c>
      <c r="AB12" s="1149"/>
      <c r="AC12" s="1149"/>
      <c r="AD12" s="1149"/>
      <c r="AE12" s="1150"/>
      <c r="AF12" s="1148" t="str">
        <f>'Personal Information'!$H$28</f>
        <v>31 - 03 - 2025</v>
      </c>
      <c r="AG12" s="1149"/>
      <c r="AH12" s="1149"/>
      <c r="AI12" s="1149"/>
      <c r="AJ12" s="1150"/>
      <c r="AK12" s="7"/>
      <c r="AL12" s="7"/>
    </row>
    <row r="13" spans="2:87" ht="11.45" customHeight="1">
      <c r="B13" s="16"/>
      <c r="C13" s="27" t="s">
        <v>417</v>
      </c>
      <c r="D13" s="28"/>
      <c r="E13" s="1227" t="s">
        <v>418</v>
      </c>
      <c r="F13" s="1227"/>
      <c r="G13" s="1227"/>
      <c r="H13" s="1227"/>
      <c r="I13" s="27" t="s">
        <v>419</v>
      </c>
      <c r="J13" s="27"/>
      <c r="K13" s="27"/>
      <c r="L13" s="28"/>
      <c r="M13" s="28"/>
      <c r="N13" s="28"/>
      <c r="O13" s="28"/>
      <c r="P13" s="28"/>
      <c r="Q13" s="67"/>
      <c r="R13" s="68"/>
      <c r="S13" s="32"/>
      <c r="T13" s="32"/>
      <c r="U13" s="32"/>
      <c r="V13" s="32"/>
      <c r="W13" s="32"/>
      <c r="X13" s="32"/>
      <c r="Y13" s="32"/>
      <c r="Z13" s="72"/>
      <c r="AA13" s="1151"/>
      <c r="AB13" s="1152"/>
      <c r="AC13" s="1152"/>
      <c r="AD13" s="1152"/>
      <c r="AE13" s="1153"/>
      <c r="AF13" s="1151"/>
      <c r="AG13" s="1152"/>
      <c r="AH13" s="1152"/>
      <c r="AI13" s="1152"/>
      <c r="AJ13" s="1153"/>
      <c r="AK13" s="7"/>
      <c r="AL13" s="7"/>
    </row>
    <row r="14" spans="2:87" ht="1.1499999999999999" customHeight="1">
      <c r="B14" s="16"/>
      <c r="C14" s="29"/>
      <c r="D14" s="29"/>
      <c r="E14" s="30"/>
      <c r="F14" s="30"/>
      <c r="G14" s="30"/>
      <c r="H14" s="30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77"/>
      <c r="AB14" s="77"/>
      <c r="AC14" s="77"/>
      <c r="AD14" s="77"/>
      <c r="AE14" s="77"/>
      <c r="AF14" s="77"/>
      <c r="AG14" s="77"/>
      <c r="AH14" s="77"/>
      <c r="AI14" s="77"/>
      <c r="AJ14" s="92"/>
      <c r="AK14" s="7"/>
      <c r="AL14" s="7"/>
    </row>
    <row r="15" spans="2:87" ht="11.25" customHeight="1">
      <c r="B15" s="16"/>
      <c r="C15" s="31"/>
      <c r="D15" s="31"/>
      <c r="E15" s="31"/>
      <c r="F15" s="31"/>
      <c r="G15" s="31"/>
      <c r="H15" s="31"/>
      <c r="I15" s="31"/>
      <c r="J15" s="31"/>
      <c r="K15" s="31" t="s">
        <v>420</v>
      </c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6"/>
      <c r="AK15" s="7"/>
      <c r="AL15" s="7"/>
    </row>
    <row r="16" spans="2:87" ht="11.45" customHeight="1">
      <c r="B16" s="16"/>
      <c r="C16" s="32"/>
      <c r="D16" s="32" t="s">
        <v>153</v>
      </c>
      <c r="E16" s="33"/>
      <c r="F16" s="32" t="s">
        <v>421</v>
      </c>
      <c r="G16" s="32"/>
      <c r="H16" s="32"/>
      <c r="I16" s="32"/>
      <c r="J16" s="32"/>
      <c r="K16" s="32"/>
      <c r="L16" s="32"/>
      <c r="M16" s="32"/>
      <c r="N16" s="32"/>
      <c r="O16" s="32"/>
      <c r="P16" s="33"/>
      <c r="Q16" s="32" t="s">
        <v>422</v>
      </c>
      <c r="R16" s="32"/>
      <c r="S16" s="32"/>
      <c r="T16" s="32"/>
      <c r="U16" s="32"/>
      <c r="V16" s="32"/>
      <c r="W16" s="32"/>
      <c r="X16" s="32"/>
      <c r="Y16" s="32"/>
      <c r="Z16" s="33"/>
      <c r="AA16" s="32" t="s">
        <v>423</v>
      </c>
      <c r="AB16" s="32"/>
      <c r="AC16" s="32"/>
      <c r="AD16" s="32"/>
      <c r="AE16" s="32"/>
      <c r="AF16" s="32"/>
      <c r="AG16" s="32"/>
      <c r="AH16" s="32"/>
      <c r="AI16" s="32"/>
      <c r="AJ16" s="93"/>
      <c r="AK16" s="7"/>
      <c r="AL16" s="7"/>
      <c r="AO16" s="740" t="s">
        <v>231</v>
      </c>
      <c r="AP16" s="97" t="e">
        <f>'Personal Information'!#REF!</f>
        <v>#REF!</v>
      </c>
    </row>
    <row r="17" spans="2:81" ht="10.9" customHeight="1">
      <c r="B17" s="16"/>
      <c r="C17" s="29"/>
      <c r="D17" s="29"/>
      <c r="E17" s="34"/>
      <c r="F17" s="29" t="s">
        <v>424</v>
      </c>
      <c r="G17" s="29"/>
      <c r="H17" s="29"/>
      <c r="I17" s="29"/>
      <c r="J17" s="29"/>
      <c r="K17" s="29"/>
      <c r="L17" s="29"/>
      <c r="M17" s="29"/>
      <c r="N17" s="29"/>
      <c r="O17" s="29"/>
      <c r="P17" s="34"/>
      <c r="Q17" s="29"/>
      <c r="R17" s="29"/>
      <c r="S17" s="29" t="s">
        <v>157</v>
      </c>
      <c r="T17" s="29"/>
      <c r="U17" s="29"/>
      <c r="V17" s="29"/>
      <c r="W17" s="29"/>
      <c r="X17" s="29"/>
      <c r="Y17" s="29"/>
      <c r="Z17" s="34"/>
      <c r="AA17" s="29" t="s">
        <v>158</v>
      </c>
      <c r="AB17" s="29"/>
      <c r="AC17" s="29"/>
      <c r="AD17" s="29"/>
      <c r="AE17" s="29"/>
      <c r="AF17" s="29"/>
      <c r="AG17" s="29"/>
      <c r="AH17" s="29"/>
      <c r="AI17" s="29"/>
      <c r="AJ17" s="38"/>
      <c r="AK17" s="7"/>
      <c r="AL17" s="7"/>
      <c r="AO17" s="740" t="s">
        <v>231</v>
      </c>
      <c r="AP17" s="98" t="e">
        <f>'Personal Information'!#REF!</f>
        <v>#REF!</v>
      </c>
      <c r="BW17" s="105"/>
      <c r="BX17" s="105"/>
      <c r="BY17" s="105"/>
      <c r="BZ17" s="105"/>
      <c r="CA17" s="105"/>
    </row>
    <row r="18" spans="2:81">
      <c r="B18" s="16"/>
      <c r="C18" s="35" t="s">
        <v>425</v>
      </c>
      <c r="D18" s="31"/>
      <c r="E18" s="36"/>
      <c r="F18" s="1211">
        <f>'Personal Information'!F39:M39</f>
        <v>0</v>
      </c>
      <c r="G18" s="1212"/>
      <c r="H18" s="1212"/>
      <c r="I18" s="1212"/>
      <c r="J18" s="1212"/>
      <c r="K18" s="1212"/>
      <c r="L18" s="1212"/>
      <c r="M18" s="1212"/>
      <c r="N18" s="1212"/>
      <c r="O18" s="1212"/>
      <c r="P18" s="1213"/>
      <c r="Q18" s="31"/>
      <c r="R18" s="31"/>
      <c r="S18" s="1214">
        <f>'Personal Information'!AK40</f>
        <v>0</v>
      </c>
      <c r="T18" s="1215"/>
      <c r="U18" s="1215"/>
      <c r="V18" s="1215"/>
      <c r="W18" s="1215"/>
      <c r="X18" s="1215"/>
      <c r="Y18" s="1215"/>
      <c r="Z18" s="78"/>
      <c r="AA18" s="1216">
        <f>'Personal Information'!AL40</f>
        <v>0</v>
      </c>
      <c r="AB18" s="1217"/>
      <c r="AC18" s="1217"/>
      <c r="AD18" s="1217"/>
      <c r="AE18" s="1217"/>
      <c r="AF18" s="1217"/>
      <c r="AG18" s="1217"/>
      <c r="AH18" s="31"/>
      <c r="AI18" s="31"/>
      <c r="AJ18" s="39"/>
      <c r="AK18" s="7"/>
      <c r="AL18" s="7"/>
      <c r="AP18" s="98"/>
      <c r="BV18" s="106"/>
      <c r="BW18" s="107">
        <f>SUM('Salary Details'!$R$8)</f>
        <v>2000</v>
      </c>
      <c r="BX18" s="107">
        <f>SUM('Salary Details'!$R$9)</f>
        <v>2000</v>
      </c>
      <c r="BY18" s="107">
        <f>SUM('Salary Details'!$R$10)</f>
        <v>2000</v>
      </c>
      <c r="BZ18" s="107"/>
      <c r="CA18" s="108">
        <f>SUM(BW18:BY18)</f>
        <v>6000</v>
      </c>
    </row>
    <row r="19" spans="2:81" ht="11.25" customHeight="1">
      <c r="B19" s="16"/>
      <c r="C19" s="35" t="s">
        <v>426</v>
      </c>
      <c r="D19" s="31"/>
      <c r="E19" s="36"/>
      <c r="F19" s="1211">
        <f>'Personal Information'!F40:M40</f>
        <v>0</v>
      </c>
      <c r="G19" s="1212"/>
      <c r="H19" s="1212"/>
      <c r="I19" s="1212"/>
      <c r="J19" s="1212"/>
      <c r="K19" s="1212"/>
      <c r="L19" s="1212"/>
      <c r="M19" s="1212"/>
      <c r="N19" s="1212"/>
      <c r="O19" s="1212"/>
      <c r="P19" s="1213"/>
      <c r="Q19" s="31"/>
      <c r="R19" s="31"/>
      <c r="S19" s="1214">
        <f>'Personal Information'!AK41</f>
        <v>0</v>
      </c>
      <c r="T19" s="1215"/>
      <c r="U19" s="1215"/>
      <c r="V19" s="1215"/>
      <c r="W19" s="1215"/>
      <c r="X19" s="1215"/>
      <c r="Y19" s="1215"/>
      <c r="Z19" s="78"/>
      <c r="AA19" s="1216">
        <f>'Personal Information'!AL41</f>
        <v>0</v>
      </c>
      <c r="AB19" s="1217"/>
      <c r="AC19" s="1217"/>
      <c r="AD19" s="1217"/>
      <c r="AE19" s="1217"/>
      <c r="AF19" s="1217"/>
      <c r="AG19" s="1217"/>
      <c r="AH19" s="31"/>
      <c r="AI19" s="31"/>
      <c r="AJ19" s="39"/>
      <c r="AK19" s="7"/>
      <c r="AL19" s="7"/>
      <c r="AP19" s="98"/>
      <c r="BV19" s="106"/>
      <c r="BW19" s="107">
        <f>SUM('Salary Details'!$R$11)</f>
        <v>2000</v>
      </c>
      <c r="BX19" s="107">
        <f>SUM('Salary Details'!$R$12)</f>
        <v>2000</v>
      </c>
      <c r="BY19" s="107">
        <f>SUM('Salary Details'!$R$13)</f>
        <v>2000</v>
      </c>
      <c r="BZ19" s="107">
        <f>'Salary Details'!R23</f>
        <v>0</v>
      </c>
      <c r="CA19" s="109">
        <f>SUM(BW19:BZ19)</f>
        <v>6000</v>
      </c>
    </row>
    <row r="20" spans="2:81" ht="9.75" customHeight="1">
      <c r="B20" s="16"/>
      <c r="C20" s="37" t="s">
        <v>427</v>
      </c>
      <c r="D20" s="29"/>
      <c r="E20" s="38"/>
      <c r="F20" s="1211">
        <f>'Personal Information'!F41:M41</f>
        <v>0</v>
      </c>
      <c r="G20" s="1212"/>
      <c r="H20" s="1212"/>
      <c r="I20" s="1212"/>
      <c r="J20" s="1212"/>
      <c r="K20" s="1212"/>
      <c r="L20" s="1212"/>
      <c r="M20" s="1212"/>
      <c r="N20" s="1212"/>
      <c r="O20" s="1212"/>
      <c r="P20" s="1213"/>
      <c r="Q20" s="40"/>
      <c r="R20" s="40"/>
      <c r="S20" s="1214">
        <f>'Personal Information'!AK42</f>
        <v>0</v>
      </c>
      <c r="T20" s="1215"/>
      <c r="U20" s="1215"/>
      <c r="V20" s="1215"/>
      <c r="W20" s="1215"/>
      <c r="X20" s="1215"/>
      <c r="Y20" s="1215"/>
      <c r="Z20" s="79"/>
      <c r="AA20" s="1216">
        <f>'Personal Information'!AL42</f>
        <v>0</v>
      </c>
      <c r="AB20" s="1217"/>
      <c r="AC20" s="1217"/>
      <c r="AD20" s="1217"/>
      <c r="AE20" s="1217"/>
      <c r="AF20" s="1217"/>
      <c r="AG20" s="1217"/>
      <c r="AH20" s="41"/>
      <c r="AI20" s="41"/>
      <c r="AJ20" s="38"/>
      <c r="AK20" s="7"/>
      <c r="AL20" s="7"/>
      <c r="AO20" s="740" t="s">
        <v>231</v>
      </c>
      <c r="AP20" s="98" t="e">
        <f>'Personal Information'!#REF!</f>
        <v>#REF!</v>
      </c>
      <c r="BV20" s="106"/>
      <c r="BW20" s="107">
        <f>SUM('Salary Details'!$R$14)</f>
        <v>2000</v>
      </c>
      <c r="BX20" s="107">
        <f>SUM('Salary Details'!$R$15)</f>
        <v>2000</v>
      </c>
      <c r="BY20" s="107">
        <f>SUM('Salary Details'!$R$16)</f>
        <v>2000</v>
      </c>
      <c r="BZ20" s="107"/>
      <c r="CA20" s="109">
        <f>SUM(BW20:BY20)</f>
        <v>6000</v>
      </c>
    </row>
    <row r="21" spans="2:81" ht="10.5" customHeight="1">
      <c r="B21" s="16"/>
      <c r="C21" s="35" t="s">
        <v>428</v>
      </c>
      <c r="D21" s="31"/>
      <c r="E21" s="39"/>
      <c r="F21" s="1211">
        <f>'Personal Information'!F42:M42</f>
        <v>0</v>
      </c>
      <c r="G21" s="1212"/>
      <c r="H21" s="1212"/>
      <c r="I21" s="1212"/>
      <c r="J21" s="1212"/>
      <c r="K21" s="1212"/>
      <c r="L21" s="1212"/>
      <c r="M21" s="1212"/>
      <c r="N21" s="1212"/>
      <c r="O21" s="1212"/>
      <c r="P21" s="1213"/>
      <c r="Q21" s="40"/>
      <c r="R21" s="40"/>
      <c r="S21" s="1214">
        <f>'Personal Information'!AK43</f>
        <v>0</v>
      </c>
      <c r="T21" s="1215"/>
      <c r="U21" s="1215"/>
      <c r="V21" s="1215"/>
      <c r="W21" s="1215"/>
      <c r="X21" s="1215"/>
      <c r="Y21" s="1215"/>
      <c r="Z21" s="79"/>
      <c r="AA21" s="1216">
        <f>'Personal Information'!AL43</f>
        <v>0</v>
      </c>
      <c r="AB21" s="1217"/>
      <c r="AC21" s="1217"/>
      <c r="AD21" s="1217"/>
      <c r="AE21" s="1217"/>
      <c r="AF21" s="1217"/>
      <c r="AG21" s="1217"/>
      <c r="AH21" s="41"/>
      <c r="AI21" s="41"/>
      <c r="AJ21" s="38"/>
      <c r="AK21" s="7"/>
      <c r="AL21" s="7"/>
      <c r="AP21" s="99"/>
      <c r="BV21" s="106"/>
      <c r="BW21" s="110">
        <f>SUM('Salary Details'!$R$17)</f>
        <v>2000</v>
      </c>
      <c r="BX21" s="111">
        <f>SUM('Salary Details'!$R$18)</f>
        <v>2000</v>
      </c>
      <c r="BY21" s="111">
        <f>SUM('Income Tax Ass New.'!$I$66)</f>
        <v>-22000</v>
      </c>
      <c r="BZ21" s="111"/>
      <c r="CA21" s="112">
        <f>SUM(BW21:BY21)</f>
        <v>-18000</v>
      </c>
      <c r="CB21" s="113"/>
      <c r="CC21" s="113"/>
    </row>
    <row r="22" spans="2:81" ht="11.25" customHeight="1">
      <c r="B22" s="16"/>
      <c r="C22" s="35" t="s">
        <v>429</v>
      </c>
      <c r="D22" s="31"/>
      <c r="E22" s="39"/>
      <c r="F22" s="40"/>
      <c r="G22" s="40"/>
      <c r="H22" s="41"/>
      <c r="I22" s="41"/>
      <c r="J22" s="41"/>
      <c r="K22" s="41"/>
      <c r="L22" s="41"/>
      <c r="M22" s="41"/>
      <c r="N22" s="41"/>
      <c r="O22" s="41"/>
      <c r="P22" s="38"/>
      <c r="Q22" s="40"/>
      <c r="R22" s="40"/>
      <c r="S22" s="1160">
        <f>SUM(S18:S21)</f>
        <v>0</v>
      </c>
      <c r="T22" s="1208"/>
      <c r="U22" s="1208"/>
      <c r="V22" s="1208"/>
      <c r="W22" s="1208"/>
      <c r="X22" s="1208"/>
      <c r="Y22" s="1208"/>
      <c r="Z22" s="38"/>
      <c r="AA22" s="1209">
        <f>SUM(AA18:AA21)</f>
        <v>0</v>
      </c>
      <c r="AB22" s="1210"/>
      <c r="AC22" s="1210"/>
      <c r="AD22" s="1210"/>
      <c r="AE22" s="1210"/>
      <c r="AF22" s="1210"/>
      <c r="AG22" s="1210"/>
      <c r="AH22" s="41"/>
      <c r="AI22" s="41"/>
      <c r="AJ22" s="39"/>
      <c r="AK22" s="7"/>
      <c r="AL22" s="7"/>
      <c r="AO22" s="740" t="s">
        <v>231</v>
      </c>
      <c r="AP22" s="100" t="e">
        <f>'Personal Information'!#REF!</f>
        <v>#REF!</v>
      </c>
    </row>
    <row r="23" spans="2:81" ht="10.5" customHeight="1">
      <c r="B23" s="16"/>
      <c r="C23" s="42"/>
      <c r="D23" s="41"/>
      <c r="E23" s="41"/>
      <c r="F23" s="43" t="s">
        <v>430</v>
      </c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69"/>
      <c r="Y23" s="69"/>
      <c r="Z23" s="69"/>
      <c r="AA23" s="69"/>
      <c r="AB23" s="44"/>
      <c r="AC23" s="44"/>
      <c r="AD23" s="44"/>
      <c r="AE23" s="44"/>
      <c r="AF23" s="41"/>
      <c r="AG23" s="41"/>
      <c r="AH23" s="41"/>
      <c r="AI23" s="41"/>
      <c r="AJ23" s="94"/>
      <c r="AK23" s="7"/>
      <c r="AL23" s="7"/>
    </row>
    <row r="24" spans="2:81" ht="9.75" customHeight="1">
      <c r="B24" s="16"/>
      <c r="C24" s="45" t="s">
        <v>431</v>
      </c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48"/>
      <c r="V24" s="24"/>
      <c r="W24" s="24"/>
      <c r="X24" s="18"/>
      <c r="Y24" s="18"/>
      <c r="Z24" s="53"/>
      <c r="AA24" s="17"/>
      <c r="AB24" s="24"/>
      <c r="AC24" s="24"/>
      <c r="AD24" s="24"/>
      <c r="AE24" s="48"/>
      <c r="AF24" s="7"/>
      <c r="AG24" s="7"/>
      <c r="AH24" s="7"/>
      <c r="AI24" s="7"/>
      <c r="AJ24" s="16"/>
      <c r="AK24" s="7"/>
      <c r="AL24" s="7"/>
    </row>
    <row r="25" spans="2:81" ht="12.6" customHeight="1">
      <c r="B25" s="16"/>
      <c r="C25" s="24"/>
      <c r="D25" s="24" t="s">
        <v>432</v>
      </c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48"/>
      <c r="V25" s="24" t="s">
        <v>316</v>
      </c>
      <c r="W25" s="1191">
        <f>SUM('Income Tax Ass New.'!$I$18)</f>
        <v>787674</v>
      </c>
      <c r="X25" s="1191"/>
      <c r="Y25" s="1191"/>
      <c r="Z25" s="1202"/>
      <c r="AA25" s="80"/>
      <c r="AB25" s="24"/>
      <c r="AC25" s="24"/>
      <c r="AD25" s="24"/>
      <c r="AE25" s="48"/>
      <c r="AF25" s="7"/>
      <c r="AG25" s="7"/>
      <c r="AH25" s="7"/>
      <c r="AI25" s="7"/>
      <c r="AJ25" s="16"/>
      <c r="AK25" s="7"/>
      <c r="AL25" s="7"/>
    </row>
    <row r="26" spans="2:81" ht="12.6" customHeight="1">
      <c r="B26" s="16"/>
      <c r="C26" s="24"/>
      <c r="D26" s="24" t="s">
        <v>433</v>
      </c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48"/>
      <c r="V26" s="24"/>
      <c r="W26" s="70"/>
      <c r="X26" s="70"/>
      <c r="Y26" s="70"/>
      <c r="Z26" s="81"/>
      <c r="AA26" s="80"/>
      <c r="AB26" s="24"/>
      <c r="AC26" s="24"/>
      <c r="AD26" s="24"/>
      <c r="AE26" s="48"/>
      <c r="AF26" s="7"/>
      <c r="AG26" s="7"/>
      <c r="AH26" s="7"/>
      <c r="AI26" s="7"/>
      <c r="AJ26" s="16"/>
      <c r="AK26" s="7"/>
      <c r="AL26" s="7"/>
    </row>
    <row r="27" spans="2:81" ht="12" customHeight="1">
      <c r="B27" s="16"/>
      <c r="C27" s="24"/>
      <c r="D27" s="24" t="s">
        <v>434</v>
      </c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48"/>
      <c r="V27" s="24" t="s">
        <v>316</v>
      </c>
      <c r="W27" s="1191">
        <v>0</v>
      </c>
      <c r="X27" s="1191"/>
      <c r="Y27" s="1191"/>
      <c r="Z27" s="1202"/>
      <c r="AA27" s="80"/>
      <c r="AB27" s="24"/>
      <c r="AC27" s="24"/>
      <c r="AD27" s="24"/>
      <c r="AE27" s="48"/>
      <c r="AF27" s="7"/>
      <c r="AG27" s="7"/>
      <c r="AH27" s="7"/>
      <c r="AI27" s="7"/>
      <c r="AJ27" s="16"/>
      <c r="AK27" s="7"/>
      <c r="AL27" s="7"/>
    </row>
    <row r="28" spans="2:81" ht="10.5" customHeight="1">
      <c r="B28" s="16"/>
      <c r="C28" s="24"/>
      <c r="D28" s="24" t="s">
        <v>435</v>
      </c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48"/>
      <c r="V28" s="24"/>
      <c r="W28" s="70"/>
      <c r="X28" s="70"/>
      <c r="Y28" s="70"/>
      <c r="Z28" s="81"/>
      <c r="AA28" s="80"/>
      <c r="AB28" s="24"/>
      <c r="AC28" s="24"/>
      <c r="AD28" s="24"/>
      <c r="AE28" s="48"/>
      <c r="AF28" s="7"/>
      <c r="AG28" s="7"/>
      <c r="AH28" s="7"/>
      <c r="AI28" s="7"/>
      <c r="AJ28" s="16"/>
      <c r="AK28" s="7"/>
      <c r="AL28" s="7"/>
    </row>
    <row r="29" spans="2:81" ht="10.5" customHeight="1">
      <c r="B29" s="16"/>
      <c r="C29" s="24"/>
      <c r="D29" s="24" t="s">
        <v>434</v>
      </c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48"/>
      <c r="V29" s="24" t="s">
        <v>316</v>
      </c>
      <c r="W29" s="1191">
        <v>0</v>
      </c>
      <c r="X29" s="1191"/>
      <c r="Y29" s="1191"/>
      <c r="Z29" s="1202"/>
      <c r="AA29" s="80"/>
      <c r="AB29" s="24"/>
      <c r="AC29" s="24"/>
      <c r="AD29" s="24"/>
      <c r="AE29" s="48"/>
      <c r="AF29" s="7"/>
      <c r="AG29" s="7"/>
      <c r="AH29" s="7"/>
      <c r="AI29" s="7"/>
      <c r="AJ29" s="16"/>
      <c r="AK29" s="7"/>
      <c r="AL29" s="7"/>
    </row>
    <row r="30" spans="2:81" ht="11.25" customHeight="1">
      <c r="B30" s="16"/>
      <c r="C30" s="24"/>
      <c r="D30" s="24" t="s">
        <v>436</v>
      </c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48"/>
      <c r="V30" s="24"/>
      <c r="W30" s="24"/>
      <c r="X30" s="24"/>
      <c r="Y30" s="24"/>
      <c r="Z30" s="48"/>
      <c r="AA30" s="24" t="s">
        <v>316</v>
      </c>
      <c r="AB30" s="1191">
        <f>W25</f>
        <v>787674</v>
      </c>
      <c r="AC30" s="1192"/>
      <c r="AD30" s="1192"/>
      <c r="AE30" s="1193"/>
      <c r="AF30" s="7"/>
      <c r="AG30" s="7"/>
      <c r="AH30" s="7"/>
      <c r="AI30" s="7"/>
      <c r="AJ30" s="16"/>
      <c r="AK30" s="7"/>
      <c r="AL30" s="7"/>
    </row>
    <row r="31" spans="2:81" ht="11.25" customHeight="1">
      <c r="B31" s="16"/>
      <c r="C31" s="24" t="s">
        <v>437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58"/>
      <c r="V31" s="24" t="s">
        <v>316</v>
      </c>
      <c r="W31" s="1191">
        <v>0</v>
      </c>
      <c r="X31" s="1191"/>
      <c r="Y31" s="1191"/>
      <c r="Z31" s="1202"/>
      <c r="AA31" s="80"/>
      <c r="AB31" s="24"/>
      <c r="AC31" s="24"/>
      <c r="AD31" s="24"/>
      <c r="AE31" s="48"/>
      <c r="AF31" s="7"/>
      <c r="AG31" s="7"/>
      <c r="AH31" s="7"/>
      <c r="AI31" s="7"/>
      <c r="AJ31" s="16"/>
      <c r="AK31" s="7"/>
      <c r="AL31" s="7"/>
    </row>
    <row r="32" spans="2:81" ht="10.5" customHeight="1">
      <c r="B32" s="16"/>
      <c r="C32" s="24"/>
      <c r="D32" s="46"/>
      <c r="E32" s="46"/>
      <c r="F32" s="46" t="s">
        <v>438</v>
      </c>
      <c r="G32" s="46"/>
      <c r="H32" s="46"/>
      <c r="I32" s="46"/>
      <c r="J32" s="46"/>
      <c r="K32" s="46"/>
      <c r="L32" s="46"/>
      <c r="M32" s="46"/>
      <c r="N32" s="59"/>
      <c r="O32" s="46"/>
      <c r="P32" s="46"/>
      <c r="Q32" s="46" t="s">
        <v>439</v>
      </c>
      <c r="R32" s="46"/>
      <c r="S32" s="46"/>
      <c r="T32" s="46"/>
      <c r="U32" s="59"/>
      <c r="V32" s="24"/>
      <c r="W32" s="32"/>
      <c r="X32" s="32"/>
      <c r="Y32" s="32"/>
      <c r="Z32" s="32"/>
      <c r="AA32" s="80"/>
      <c r="AB32" s="24"/>
      <c r="AC32" s="24"/>
      <c r="AD32" s="24"/>
      <c r="AE32" s="48"/>
      <c r="AF32" s="7"/>
      <c r="AG32" s="7"/>
      <c r="AH32" s="7"/>
      <c r="AI32" s="7"/>
      <c r="AJ32" s="16"/>
      <c r="AK32" s="7"/>
      <c r="AL32" s="7"/>
    </row>
    <row r="33" spans="2:74" ht="10.5" customHeight="1">
      <c r="B33" s="16"/>
      <c r="C33" s="24"/>
      <c r="D33" s="46"/>
      <c r="E33" s="46"/>
      <c r="F33" s="46"/>
      <c r="G33" s="46"/>
      <c r="H33" s="46" t="s">
        <v>240</v>
      </c>
      <c r="I33" s="46"/>
      <c r="J33" s="46"/>
      <c r="K33" s="31"/>
      <c r="L33" s="31"/>
      <c r="M33" s="46"/>
      <c r="N33" s="59"/>
      <c r="O33" s="46"/>
      <c r="P33" s="1154">
        <v>0</v>
      </c>
      <c r="Q33" s="1154"/>
      <c r="R33" s="1154"/>
      <c r="S33" s="1154"/>
      <c r="T33" s="1154"/>
      <c r="U33" s="71"/>
      <c r="V33" s="24" t="s">
        <v>316</v>
      </c>
      <c r="W33" s="1191">
        <f>P36</f>
        <v>0</v>
      </c>
      <c r="X33" s="1191"/>
      <c r="Y33" s="1191"/>
      <c r="Z33" s="1202"/>
      <c r="AA33" s="24"/>
      <c r="AB33" s="24"/>
      <c r="AC33" s="24"/>
      <c r="AD33" s="24"/>
      <c r="AE33" s="48"/>
      <c r="AF33" s="7"/>
      <c r="AG33" s="7"/>
      <c r="AH33" s="7"/>
      <c r="AI33" s="7"/>
      <c r="AJ33" s="16"/>
      <c r="AK33" s="7"/>
      <c r="AL33" s="7"/>
    </row>
    <row r="34" spans="2:74" ht="11.25" customHeight="1">
      <c r="B34" s="16"/>
      <c r="C34" s="24"/>
      <c r="D34" s="46"/>
      <c r="E34" s="46"/>
      <c r="F34" s="46"/>
      <c r="G34" s="46"/>
      <c r="H34" s="46" t="s">
        <v>239</v>
      </c>
      <c r="I34" s="46"/>
      <c r="J34" s="23"/>
      <c r="K34" s="32"/>
      <c r="L34" s="32"/>
      <c r="M34" s="46"/>
      <c r="N34" s="59"/>
      <c r="O34" s="46"/>
      <c r="P34" s="1154">
        <f>SUM('Income Tax Ass New.'!$I$21)</f>
        <v>0</v>
      </c>
      <c r="Q34" s="1154"/>
      <c r="R34" s="1154"/>
      <c r="S34" s="1154"/>
      <c r="T34" s="1154"/>
      <c r="U34" s="71"/>
      <c r="V34" s="32"/>
      <c r="W34" s="32"/>
      <c r="X34" s="32"/>
      <c r="Y34" s="32"/>
      <c r="Z34" s="72"/>
      <c r="AA34" s="24"/>
      <c r="AB34" s="24"/>
      <c r="AC34" s="24"/>
      <c r="AD34" s="24"/>
      <c r="AE34" s="48"/>
      <c r="AF34" s="7"/>
      <c r="AG34" s="7"/>
      <c r="AH34" s="7"/>
      <c r="AI34" s="7"/>
      <c r="AJ34" s="16"/>
      <c r="AK34" s="7"/>
      <c r="AL34" s="7"/>
    </row>
    <row r="35" spans="2:74" ht="11.25" customHeight="1">
      <c r="B35" s="16"/>
      <c r="C35" s="24"/>
      <c r="D35" s="46" t="s">
        <v>440</v>
      </c>
      <c r="E35" s="46"/>
      <c r="F35" s="46"/>
      <c r="G35" s="46"/>
      <c r="H35" s="46"/>
      <c r="I35" s="46"/>
      <c r="J35" s="23"/>
      <c r="K35" s="32"/>
      <c r="L35" s="32"/>
      <c r="M35" s="46"/>
      <c r="N35" s="59"/>
      <c r="O35" s="46"/>
      <c r="P35" s="1154">
        <f>SUM('Income Tax Ass New.'!$I$22)</f>
        <v>0</v>
      </c>
      <c r="Q35" s="1154"/>
      <c r="R35" s="1154"/>
      <c r="S35" s="1154"/>
      <c r="T35" s="1154"/>
      <c r="U35" s="71"/>
      <c r="V35" s="32"/>
      <c r="W35" s="32"/>
      <c r="X35" s="32"/>
      <c r="Y35" s="32"/>
      <c r="Z35" s="72"/>
      <c r="AA35" s="24"/>
      <c r="AB35" s="24"/>
      <c r="AC35" s="24"/>
      <c r="AD35" s="24"/>
      <c r="AE35" s="48"/>
      <c r="AF35" s="7"/>
      <c r="AG35" s="7"/>
      <c r="AH35" s="7"/>
      <c r="AI35" s="7"/>
      <c r="AJ35" s="16"/>
      <c r="AK35" s="7"/>
      <c r="AL35" s="7"/>
    </row>
    <row r="36" spans="2:74" ht="10.5" customHeight="1">
      <c r="B36" s="16"/>
      <c r="C36" s="24"/>
      <c r="D36" s="46" t="s">
        <v>441</v>
      </c>
      <c r="E36" s="46"/>
      <c r="F36" s="46"/>
      <c r="G36" s="46"/>
      <c r="H36" s="46"/>
      <c r="I36" s="46"/>
      <c r="J36" s="46"/>
      <c r="K36" s="46"/>
      <c r="L36" s="46"/>
      <c r="M36" s="46"/>
      <c r="N36" s="59"/>
      <c r="O36" s="46"/>
      <c r="P36" s="1154">
        <f>SUM(P33:P35)</f>
        <v>0</v>
      </c>
      <c r="Q36" s="1204"/>
      <c r="R36" s="1204"/>
      <c r="S36" s="1204"/>
      <c r="T36" s="1204"/>
      <c r="U36" s="59"/>
      <c r="V36" s="32"/>
      <c r="W36" s="32"/>
      <c r="X36" s="32"/>
      <c r="Y36" s="32"/>
      <c r="Z36" s="72"/>
      <c r="AA36" s="24"/>
      <c r="AB36" s="82"/>
      <c r="AC36" s="83"/>
      <c r="AD36" s="83"/>
      <c r="AE36" s="84"/>
      <c r="AF36" s="7"/>
      <c r="AG36" s="7"/>
      <c r="AH36" s="7"/>
      <c r="AI36" s="7"/>
      <c r="AJ36" s="16"/>
      <c r="AK36" s="7"/>
      <c r="AL36" s="7"/>
    </row>
    <row r="37" spans="2:74" ht="11.25" customHeight="1">
      <c r="B37" s="16"/>
      <c r="C37" s="47" t="s">
        <v>442</v>
      </c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48"/>
      <c r="V37" s="24"/>
      <c r="W37" s="24"/>
      <c r="X37" s="24"/>
      <c r="Y37" s="24"/>
      <c r="Z37" s="48"/>
      <c r="AA37" s="24" t="s">
        <v>316</v>
      </c>
      <c r="AB37" s="1205">
        <f>AB30-W33</f>
        <v>787674</v>
      </c>
      <c r="AC37" s="1206"/>
      <c r="AD37" s="1206"/>
      <c r="AE37" s="1207"/>
      <c r="AF37" s="7"/>
      <c r="AG37" s="7"/>
      <c r="AH37" s="7"/>
      <c r="AI37" s="7"/>
      <c r="AJ37" s="16"/>
      <c r="AK37" s="7"/>
      <c r="AL37" s="7"/>
    </row>
    <row r="38" spans="2:74" ht="9" customHeight="1">
      <c r="B38" s="48"/>
      <c r="C38" s="49" t="s">
        <v>443</v>
      </c>
      <c r="D38" s="45"/>
      <c r="E38" s="45"/>
      <c r="F38" s="45"/>
      <c r="G38" s="45"/>
      <c r="H38" s="45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48"/>
      <c r="V38" s="24"/>
      <c r="W38" s="24"/>
      <c r="X38" s="24"/>
      <c r="Y38" s="24"/>
      <c r="Z38" s="48"/>
      <c r="AA38" s="80"/>
      <c r="AB38" s="24"/>
      <c r="AC38" s="24"/>
      <c r="AD38" s="24"/>
      <c r="AE38" s="48"/>
      <c r="AF38" s="24"/>
      <c r="AG38" s="24"/>
      <c r="AH38" s="24"/>
      <c r="AI38" s="24"/>
      <c r="AJ38" s="48"/>
      <c r="AK38" s="7"/>
      <c r="AL38" s="7"/>
    </row>
    <row r="39" spans="2:74" ht="9" customHeight="1">
      <c r="B39" s="48"/>
      <c r="C39" s="49"/>
      <c r="D39" s="24" t="s">
        <v>444</v>
      </c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48"/>
      <c r="V39" s="24" t="s">
        <v>316</v>
      </c>
      <c r="W39" s="1191">
        <f>'Income Tax Ass New.'!I30</f>
        <v>75000</v>
      </c>
      <c r="X39" s="1191"/>
      <c r="Y39" s="1191"/>
      <c r="Z39" s="1202"/>
      <c r="AA39" s="80"/>
      <c r="AB39" s="24"/>
      <c r="AC39" s="24"/>
      <c r="AD39" s="24"/>
      <c r="AE39" s="48"/>
      <c r="AF39" s="24"/>
      <c r="AG39" s="24"/>
      <c r="AH39" s="24"/>
      <c r="AI39" s="24"/>
      <c r="AJ39" s="48"/>
      <c r="AK39" s="7"/>
      <c r="AL39" s="7"/>
    </row>
    <row r="40" spans="2:74" ht="9" customHeight="1">
      <c r="B40" s="48"/>
      <c r="C40" s="24"/>
      <c r="D40" s="24" t="s">
        <v>445</v>
      </c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48"/>
      <c r="V40" s="24" t="s">
        <v>316</v>
      </c>
      <c r="W40" s="1191">
        <v>0</v>
      </c>
      <c r="X40" s="1191"/>
      <c r="Y40" s="1191"/>
      <c r="Z40" s="1202"/>
      <c r="AA40" s="80"/>
      <c r="AB40" s="24"/>
      <c r="AC40" s="24"/>
      <c r="AD40" s="24"/>
      <c r="AE40" s="48"/>
      <c r="AF40" s="24"/>
      <c r="AG40" s="24"/>
      <c r="AH40" s="24"/>
      <c r="AI40" s="24"/>
      <c r="AJ40" s="48"/>
      <c r="AK40" s="7"/>
      <c r="AL40" s="7"/>
    </row>
    <row r="41" spans="2:74" ht="9.75" customHeight="1">
      <c r="B41" s="48"/>
      <c r="C41" s="24"/>
      <c r="D41" s="24" t="s">
        <v>446</v>
      </c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48"/>
      <c r="V41" s="24" t="s">
        <v>316</v>
      </c>
      <c r="W41" s="1191">
        <f>SUM('Income Tax Ass New.'!$I$28)</f>
        <v>0</v>
      </c>
      <c r="X41" s="1191"/>
      <c r="Y41" s="1191"/>
      <c r="Z41" s="1202"/>
      <c r="AA41" s="80"/>
      <c r="AB41" s="24"/>
      <c r="AC41" s="24"/>
      <c r="AD41" s="24"/>
      <c r="AE41" s="48"/>
      <c r="AF41" s="24"/>
      <c r="AG41" s="24"/>
      <c r="AH41" s="24"/>
      <c r="AI41" s="24"/>
      <c r="AJ41" s="48"/>
      <c r="AK41" s="7"/>
      <c r="AL41" s="7"/>
    </row>
    <row r="42" spans="2:74" ht="10.5" customHeight="1">
      <c r="B42" s="48"/>
      <c r="C42" s="24" t="s">
        <v>448</v>
      </c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48"/>
      <c r="V42" s="24"/>
      <c r="W42" s="24"/>
      <c r="X42" s="24"/>
      <c r="Y42" s="24"/>
      <c r="Z42" s="48"/>
      <c r="AA42" s="24" t="s">
        <v>316</v>
      </c>
      <c r="AB42" s="1191">
        <f>SUM(W39:W41)</f>
        <v>75000</v>
      </c>
      <c r="AC42" s="1191"/>
      <c r="AD42" s="1191"/>
      <c r="AE42" s="1202"/>
      <c r="AF42" s="24"/>
      <c r="AG42" s="24"/>
      <c r="AH42" s="24"/>
      <c r="AI42" s="24"/>
      <c r="AJ42" s="48"/>
      <c r="AK42" s="7"/>
      <c r="AL42" s="7"/>
    </row>
    <row r="43" spans="2:74" ht="11.25" customHeight="1">
      <c r="B43" s="48"/>
      <c r="C43" s="24" t="s">
        <v>449</v>
      </c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48"/>
      <c r="V43" s="24"/>
      <c r="W43" s="24"/>
      <c r="X43" s="24"/>
      <c r="Y43" s="24"/>
      <c r="Z43" s="48"/>
      <c r="AA43" s="80"/>
      <c r="AB43" s="24"/>
      <c r="AC43" s="24"/>
      <c r="AD43" s="24"/>
      <c r="AE43" s="48"/>
      <c r="AF43" s="24" t="s">
        <v>316</v>
      </c>
      <c r="AG43" s="1191">
        <f>AB37-AB42</f>
        <v>712674</v>
      </c>
      <c r="AH43" s="1192"/>
      <c r="AI43" s="1192"/>
      <c r="AJ43" s="1193"/>
      <c r="AK43" s="7"/>
      <c r="AL43" s="7"/>
    </row>
    <row r="44" spans="2:74" ht="9.75" customHeight="1">
      <c r="B44" s="48"/>
      <c r="C44" s="24" t="s">
        <v>450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48"/>
      <c r="V44" s="24"/>
      <c r="W44" s="24"/>
      <c r="X44" s="24"/>
      <c r="Y44" s="24"/>
      <c r="Z44" s="48"/>
      <c r="AA44" s="80"/>
      <c r="AB44" s="24"/>
      <c r="AC44" s="24"/>
      <c r="AD44" s="24"/>
      <c r="AE44" s="48"/>
      <c r="AF44" s="24"/>
      <c r="AG44" s="24"/>
      <c r="AH44" s="24"/>
      <c r="AI44" s="24"/>
      <c r="AJ44" s="48"/>
      <c r="AK44" s="7"/>
      <c r="AL44" s="7"/>
    </row>
    <row r="45" spans="2:74" ht="9.75" customHeight="1">
      <c r="B45" s="48"/>
      <c r="C45" s="24"/>
      <c r="D45" s="46"/>
      <c r="E45" s="46"/>
      <c r="F45" s="46" t="s">
        <v>438</v>
      </c>
      <c r="G45" s="46"/>
      <c r="H45" s="46"/>
      <c r="I45" s="46"/>
      <c r="J45" s="46"/>
      <c r="K45" s="46"/>
      <c r="L45" s="46"/>
      <c r="M45" s="46"/>
      <c r="N45" s="59"/>
      <c r="O45" s="46"/>
      <c r="P45" s="46"/>
      <c r="Q45" s="46" t="s">
        <v>439</v>
      </c>
      <c r="R45" s="46"/>
      <c r="S45" s="46"/>
      <c r="T45" s="46"/>
      <c r="U45" s="59"/>
      <c r="V45" s="32"/>
      <c r="W45" s="32"/>
      <c r="X45" s="32"/>
      <c r="Y45" s="32"/>
      <c r="Z45" s="32"/>
      <c r="AA45" s="80"/>
      <c r="AB45" s="24"/>
      <c r="AC45" s="24"/>
      <c r="AD45" s="24"/>
      <c r="AE45" s="48"/>
      <c r="AF45" s="24"/>
      <c r="AG45" s="24"/>
      <c r="AH45" s="24"/>
      <c r="AI45" s="24"/>
      <c r="AJ45" s="48"/>
      <c r="AK45" s="7"/>
      <c r="AL45" s="7"/>
    </row>
    <row r="46" spans="2:74" ht="8.25" customHeight="1">
      <c r="B46" s="48"/>
      <c r="C46" s="24"/>
      <c r="D46" s="46"/>
      <c r="E46" s="46"/>
      <c r="F46" s="46"/>
      <c r="G46" s="46"/>
      <c r="H46" s="46"/>
      <c r="I46" s="60" t="s">
        <v>413</v>
      </c>
      <c r="J46" s="46"/>
      <c r="K46" s="46"/>
      <c r="L46" s="46"/>
      <c r="M46" s="46"/>
      <c r="N46" s="59"/>
      <c r="O46" s="46"/>
      <c r="P46" s="46"/>
      <c r="Q46" s="46"/>
      <c r="R46" s="46"/>
      <c r="S46" s="60" t="s">
        <v>413</v>
      </c>
      <c r="T46" s="46"/>
      <c r="U46" s="59"/>
      <c r="V46" s="32"/>
      <c r="W46" s="32"/>
      <c r="X46" s="32"/>
      <c r="Y46" s="32"/>
      <c r="Z46" s="32"/>
      <c r="AA46" s="80"/>
      <c r="AB46" s="24"/>
      <c r="AC46" s="24"/>
      <c r="AD46" s="24"/>
      <c r="AE46" s="48"/>
      <c r="AF46" s="24"/>
      <c r="AG46" s="24"/>
      <c r="AH46" s="24"/>
      <c r="AI46" s="24"/>
      <c r="AJ46" s="48"/>
      <c r="AK46" s="7"/>
      <c r="AL46" s="7"/>
    </row>
    <row r="47" spans="2:74" ht="8.25" customHeight="1">
      <c r="B47" s="48"/>
      <c r="C47" s="24"/>
      <c r="D47" s="46" t="s">
        <v>441</v>
      </c>
      <c r="E47" s="46"/>
      <c r="F47" s="46"/>
      <c r="G47" s="46"/>
      <c r="H47" s="46"/>
      <c r="I47" s="61"/>
      <c r="J47" s="46"/>
      <c r="K47" s="46"/>
      <c r="L47" s="46"/>
      <c r="M47" s="46"/>
      <c r="N47" s="59"/>
      <c r="O47" s="46"/>
      <c r="P47" s="46"/>
      <c r="Q47" s="46"/>
      <c r="R47" s="46"/>
      <c r="S47" s="61" t="s">
        <v>413</v>
      </c>
      <c r="T47" s="46"/>
      <c r="U47" s="59"/>
      <c r="V47" s="32"/>
      <c r="W47" s="32"/>
      <c r="X47" s="32"/>
      <c r="Y47" s="32"/>
      <c r="Z47" s="72"/>
      <c r="AA47" s="24" t="s">
        <v>316</v>
      </c>
      <c r="AB47" s="1191">
        <v>0</v>
      </c>
      <c r="AC47" s="1191"/>
      <c r="AD47" s="1191"/>
      <c r="AE47" s="1202"/>
      <c r="AF47" s="24"/>
      <c r="AG47" s="95"/>
      <c r="AH47" s="95"/>
      <c r="AI47" s="95"/>
      <c r="AJ47" s="96"/>
      <c r="AK47" s="7"/>
      <c r="AL47" s="7"/>
      <c r="BV47" s="114"/>
    </row>
    <row r="48" spans="2:74" ht="10.5" customHeight="1">
      <c r="B48" s="48"/>
      <c r="C48" s="24" t="s">
        <v>451</v>
      </c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48"/>
      <c r="V48" s="24"/>
      <c r="W48" s="24"/>
      <c r="X48" s="24"/>
      <c r="Y48" s="24"/>
      <c r="Z48" s="48"/>
      <c r="AA48" s="80"/>
      <c r="AB48" s="24"/>
      <c r="AC48" s="24"/>
      <c r="AD48" s="24"/>
      <c r="AE48" s="48"/>
      <c r="AF48" s="24" t="s">
        <v>316</v>
      </c>
      <c r="AG48" s="1191">
        <f>AG43</f>
        <v>712674</v>
      </c>
      <c r="AH48" s="1192"/>
      <c r="AI48" s="1192"/>
      <c r="AJ48" s="1193"/>
      <c r="AK48" s="7"/>
      <c r="AL48" s="7"/>
    </row>
    <row r="49" spans="2:74" ht="12" customHeight="1">
      <c r="B49" s="48"/>
      <c r="C49" s="24" t="s">
        <v>452</v>
      </c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32"/>
      <c r="Q49" s="32"/>
      <c r="R49" s="32"/>
      <c r="S49" s="32"/>
      <c r="T49" s="24"/>
      <c r="U49" s="48"/>
      <c r="V49" s="24" t="s">
        <v>453</v>
      </c>
      <c r="W49" s="24"/>
      <c r="X49" s="24"/>
      <c r="Y49" s="24"/>
      <c r="Z49" s="32"/>
      <c r="AA49" s="1203" t="s">
        <v>454</v>
      </c>
      <c r="AB49" s="1194"/>
      <c r="AC49" s="1194"/>
      <c r="AD49" s="1194"/>
      <c r="AE49" s="1195"/>
      <c r="AF49" s="1203" t="s">
        <v>455</v>
      </c>
      <c r="AG49" s="1194"/>
      <c r="AH49" s="1194"/>
      <c r="AI49" s="1194"/>
      <c r="AJ49" s="1195"/>
      <c r="AK49" s="7"/>
      <c r="AL49" s="7"/>
    </row>
    <row r="50" spans="2:74" ht="10.5" customHeight="1">
      <c r="B50" s="48"/>
      <c r="C50" s="24"/>
      <c r="D50" s="24" t="s">
        <v>456</v>
      </c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48"/>
      <c r="V50" s="32"/>
      <c r="W50" s="32"/>
      <c r="X50" s="32"/>
      <c r="Y50" s="32"/>
      <c r="Z50" s="32"/>
      <c r="AA50" s="1203" t="s">
        <v>457</v>
      </c>
      <c r="AB50" s="1194"/>
      <c r="AC50" s="1194"/>
      <c r="AD50" s="1194"/>
      <c r="AE50" s="1195"/>
      <c r="AF50" s="1203" t="s">
        <v>457</v>
      </c>
      <c r="AG50" s="1194"/>
      <c r="AH50" s="1194"/>
      <c r="AI50" s="1194"/>
      <c r="AJ50" s="1195"/>
      <c r="AK50" s="7"/>
      <c r="AL50" s="7"/>
      <c r="AP50" s="101" t="str">
        <f>'Personal Information'!$M$11</f>
        <v>C</v>
      </c>
    </row>
    <row r="51" spans="2:74" ht="10.5" customHeight="1">
      <c r="B51" s="16"/>
      <c r="C51" s="7"/>
      <c r="D51" s="7"/>
      <c r="E51" s="7" t="s">
        <v>458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16"/>
      <c r="V51" s="7"/>
      <c r="W51" s="7"/>
      <c r="X51" s="7"/>
      <c r="Y51" s="7"/>
      <c r="Z51" s="16"/>
      <c r="AA51" s="7"/>
      <c r="AB51" s="7"/>
      <c r="AC51" s="7"/>
      <c r="AD51" s="7"/>
      <c r="AE51" s="16"/>
      <c r="AF51" s="7"/>
      <c r="AG51" s="7"/>
      <c r="AH51" s="7"/>
      <c r="AI51" s="7"/>
      <c r="AJ51" s="16"/>
      <c r="AK51" s="7"/>
      <c r="AL51" s="7"/>
    </row>
    <row r="52" spans="2:74" ht="10.5" customHeight="1">
      <c r="B52" s="16"/>
      <c r="C52" s="24"/>
      <c r="D52" s="24"/>
      <c r="E52" s="24" t="s">
        <v>459</v>
      </c>
      <c r="F52" s="24"/>
      <c r="G52" s="50" t="str">
        <f>IF(AP50="G",AP52,AP53)</f>
        <v>CPSN</v>
      </c>
      <c r="H52" s="50"/>
      <c r="I52" s="50"/>
      <c r="J52" s="62"/>
      <c r="K52" s="24"/>
      <c r="L52" s="24"/>
      <c r="M52" s="24"/>
      <c r="N52" s="24"/>
      <c r="O52" s="24"/>
      <c r="P52" s="32"/>
      <c r="Q52" s="32"/>
      <c r="R52" s="32"/>
      <c r="S52" s="32"/>
      <c r="T52" s="32"/>
      <c r="U52" s="72"/>
      <c r="V52" s="24" t="s">
        <v>316</v>
      </c>
      <c r="W52" s="1178">
        <f>IF(AP50="C",AQ53,IF(AP50="G",AQ52))</f>
        <v>0</v>
      </c>
      <c r="X52" s="1178"/>
      <c r="Y52" s="1178"/>
      <c r="Z52" s="1184"/>
      <c r="AA52" s="24"/>
      <c r="AB52" s="1194"/>
      <c r="AC52" s="1194"/>
      <c r="AD52" s="1194"/>
      <c r="AE52" s="1195"/>
      <c r="AF52" s="24"/>
      <c r="AG52" s="24"/>
      <c r="AH52" s="24"/>
      <c r="AI52" s="47"/>
      <c r="AJ52" s="48"/>
      <c r="AK52" s="7"/>
      <c r="AL52" s="7"/>
      <c r="AP52" s="24" t="s">
        <v>460</v>
      </c>
      <c r="AQ52" s="102">
        <f>SUM('Income Tax Ass New.'!$I$35)</f>
        <v>0</v>
      </c>
      <c r="AR52" s="102"/>
      <c r="AS52" s="102"/>
      <c r="AT52" s="103"/>
    </row>
    <row r="53" spans="2:74" ht="11.25" customHeight="1">
      <c r="B53" s="16"/>
      <c r="C53" s="24"/>
      <c r="D53" s="24"/>
      <c r="E53" s="24"/>
      <c r="F53" s="24"/>
      <c r="G53" s="45" t="s">
        <v>166</v>
      </c>
      <c r="H53" s="45"/>
      <c r="I53" s="24"/>
      <c r="J53" s="24"/>
      <c r="K53" s="24"/>
      <c r="L53" s="24"/>
      <c r="M53" s="24"/>
      <c r="N53" s="24"/>
      <c r="O53" s="24"/>
      <c r="P53" s="32"/>
      <c r="Q53" s="32"/>
      <c r="R53" s="32"/>
      <c r="S53" s="32"/>
      <c r="T53" s="32"/>
      <c r="U53" s="72"/>
      <c r="V53" s="24" t="s">
        <v>316</v>
      </c>
      <c r="W53" s="1196">
        <f>SUM(W52:W52)</f>
        <v>0</v>
      </c>
      <c r="X53" s="1196"/>
      <c r="Y53" s="1196"/>
      <c r="Z53" s="1197"/>
      <c r="AA53" s="24" t="s">
        <v>316</v>
      </c>
      <c r="AB53" s="1198">
        <f>IF(W53&gt;149999,150000,W53)</f>
        <v>0</v>
      </c>
      <c r="AC53" s="1198"/>
      <c r="AD53" s="1198"/>
      <c r="AE53" s="1199"/>
      <c r="AF53" s="87" t="s">
        <v>316</v>
      </c>
      <c r="AG53" s="1200">
        <f>IF(AB53&gt;149999,150000,AB53)</f>
        <v>0</v>
      </c>
      <c r="AH53" s="1200"/>
      <c r="AI53" s="1200"/>
      <c r="AJ53" s="1201"/>
      <c r="AK53" s="7"/>
      <c r="AL53" s="7"/>
      <c r="AP53" s="22" t="s">
        <v>464</v>
      </c>
      <c r="AQ53" s="102">
        <f>SUM('Income Tax Ass New.'!$I$43)</f>
        <v>0</v>
      </c>
    </row>
    <row r="54" spans="2:74" ht="9.75" customHeight="1">
      <c r="B54" s="16"/>
      <c r="C54" s="24"/>
      <c r="D54" s="24"/>
      <c r="E54" s="24" t="s">
        <v>577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32"/>
      <c r="Q54" s="32"/>
      <c r="R54" s="32"/>
      <c r="S54" s="32"/>
      <c r="T54" s="32"/>
      <c r="U54" s="72"/>
      <c r="V54" s="24" t="s">
        <v>316</v>
      </c>
      <c r="W54" s="1178">
        <v>0</v>
      </c>
      <c r="X54" s="1178"/>
      <c r="Y54" s="1178"/>
      <c r="Z54" s="1184"/>
      <c r="AA54" s="24" t="s">
        <v>316</v>
      </c>
      <c r="AB54" s="1178">
        <f>W54</f>
        <v>0</v>
      </c>
      <c r="AC54" s="1179"/>
      <c r="AD54" s="1179"/>
      <c r="AE54" s="1180"/>
      <c r="AF54" s="24" t="s">
        <v>316</v>
      </c>
      <c r="AG54" s="1181">
        <f>W54</f>
        <v>0</v>
      </c>
      <c r="AH54" s="1182"/>
      <c r="AI54" s="1182"/>
      <c r="AJ54" s="1183"/>
      <c r="AK54" s="7"/>
      <c r="AL54" s="7"/>
      <c r="BV54" s="115"/>
    </row>
    <row r="55" spans="2:74" ht="10.5" customHeight="1">
      <c r="B55" s="16"/>
      <c r="C55" s="7"/>
      <c r="D55" s="7"/>
      <c r="E55" s="23" t="s">
        <v>478</v>
      </c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9"/>
      <c r="Q55" s="29"/>
      <c r="R55" s="29"/>
      <c r="S55" s="29"/>
      <c r="T55" s="29"/>
      <c r="U55" s="34"/>
      <c r="V55" s="23" t="s">
        <v>316</v>
      </c>
      <c r="W55" s="1238">
        <f>'Income Tax Ass New.'!I49</f>
        <v>90240</v>
      </c>
      <c r="X55" s="1238"/>
      <c r="Y55" s="1238"/>
      <c r="Z55" s="1239"/>
      <c r="AA55" s="23" t="s">
        <v>316</v>
      </c>
      <c r="AB55" s="1238">
        <f>W55</f>
        <v>90240</v>
      </c>
      <c r="AC55" s="1238"/>
      <c r="AD55" s="1238"/>
      <c r="AE55" s="1239"/>
      <c r="AF55" s="88" t="s">
        <v>316</v>
      </c>
      <c r="AG55" s="1238">
        <f>W55</f>
        <v>90240</v>
      </c>
      <c r="AH55" s="1238"/>
      <c r="AI55" s="1238"/>
      <c r="AJ55" s="1239"/>
      <c r="AK55" s="7"/>
      <c r="AL55" s="7"/>
    </row>
    <row r="56" spans="2:74" ht="10.5" customHeight="1">
      <c r="B56" s="16"/>
      <c r="C56" s="7"/>
      <c r="D56" s="7"/>
      <c r="E56" s="24" t="s">
        <v>479</v>
      </c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48"/>
      <c r="V56" s="24"/>
      <c r="W56" s="73"/>
      <c r="X56" s="73"/>
      <c r="Y56" s="73"/>
      <c r="Z56" s="73"/>
      <c r="AA56" s="18"/>
      <c r="AB56" s="73"/>
      <c r="AC56" s="73"/>
      <c r="AD56" s="73"/>
      <c r="AE56" s="73"/>
      <c r="AF56" s="24"/>
      <c r="AG56" s="24"/>
      <c r="AH56" s="24"/>
      <c r="AI56" s="18"/>
      <c r="AJ56" s="53"/>
      <c r="AK56" s="7"/>
      <c r="AL56" s="7"/>
    </row>
    <row r="57" spans="2:74" ht="9.75" customHeight="1">
      <c r="B57" s="16"/>
      <c r="C57" s="7"/>
      <c r="D57" s="7"/>
      <c r="E57" s="23"/>
      <c r="F57" s="23"/>
      <c r="G57" s="23" t="s">
        <v>480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58"/>
      <c r="V57" s="23"/>
      <c r="W57" s="74"/>
      <c r="X57" s="74"/>
      <c r="Y57" s="74"/>
      <c r="Z57" s="89"/>
      <c r="AA57" s="23"/>
      <c r="AB57" s="74"/>
      <c r="AC57" s="74"/>
      <c r="AD57" s="74"/>
      <c r="AE57" s="89"/>
      <c r="AF57" s="23"/>
      <c r="AG57" s="23"/>
      <c r="AH57" s="23"/>
      <c r="AI57" s="23"/>
      <c r="AJ57" s="58"/>
      <c r="AK57" s="7"/>
      <c r="AL57" s="7"/>
    </row>
    <row r="58" spans="2:74" ht="10.5" customHeight="1">
      <c r="B58" s="16"/>
      <c r="C58" s="7"/>
      <c r="D58" s="51" t="s">
        <v>481</v>
      </c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16"/>
      <c r="V58" s="24" t="s">
        <v>482</v>
      </c>
      <c r="W58" s="24"/>
      <c r="X58" s="24"/>
      <c r="Y58" s="24"/>
      <c r="Z58" s="33"/>
      <c r="AA58" s="17" t="s">
        <v>483</v>
      </c>
      <c r="AB58" s="18"/>
      <c r="AC58" s="18"/>
      <c r="AD58" s="18"/>
      <c r="AE58" s="53"/>
      <c r="AF58" s="17" t="s">
        <v>484</v>
      </c>
      <c r="AG58" s="24"/>
      <c r="AH58" s="24"/>
      <c r="AI58" s="24"/>
      <c r="AJ58" s="48"/>
      <c r="AK58" s="7"/>
      <c r="AL58" s="7"/>
    </row>
    <row r="59" spans="2:74" ht="11.25" customHeight="1">
      <c r="B59" s="16"/>
      <c r="C59" s="7"/>
      <c r="D59" s="7"/>
      <c r="E59" s="24" t="s">
        <v>485</v>
      </c>
      <c r="F59" s="24"/>
      <c r="G59" s="24"/>
      <c r="H59" s="24"/>
      <c r="I59" s="24"/>
      <c r="J59" s="24"/>
      <c r="K59" s="24"/>
      <c r="L59" s="24"/>
      <c r="M59" s="24"/>
      <c r="N59" s="24"/>
      <c r="O59" s="63"/>
      <c r="P59" s="63"/>
      <c r="Q59" s="63"/>
      <c r="R59" s="63"/>
      <c r="S59" s="63"/>
      <c r="T59" s="24"/>
      <c r="U59" s="16"/>
      <c r="V59" s="24" t="s">
        <v>316</v>
      </c>
      <c r="W59" s="1178">
        <v>0</v>
      </c>
      <c r="X59" s="1178"/>
      <c r="Y59" s="1178"/>
      <c r="Z59" s="1184"/>
      <c r="AA59" s="24" t="s">
        <v>316</v>
      </c>
      <c r="AB59" s="1188">
        <f>W59</f>
        <v>0</v>
      </c>
      <c r="AC59" s="1188"/>
      <c r="AD59" s="1188"/>
      <c r="AE59" s="1240"/>
      <c r="AF59" s="24" t="s">
        <v>316</v>
      </c>
      <c r="AG59" s="1191">
        <f>W59</f>
        <v>0</v>
      </c>
      <c r="AH59" s="1191"/>
      <c r="AI59" s="1191"/>
      <c r="AJ59" s="1202"/>
      <c r="AK59" s="7"/>
      <c r="AL59" s="7"/>
    </row>
    <row r="60" spans="2:74" ht="11.25" customHeight="1">
      <c r="B60" s="16"/>
      <c r="C60" s="7"/>
      <c r="D60" s="24"/>
      <c r="E60" s="24" t="s">
        <v>578</v>
      </c>
      <c r="F60" s="24"/>
      <c r="G60" s="24"/>
      <c r="H60" s="24"/>
      <c r="I60" s="24"/>
      <c r="J60" s="24"/>
      <c r="K60" s="24"/>
      <c r="L60" s="24"/>
      <c r="M60" s="24"/>
      <c r="N60" s="24"/>
      <c r="O60" s="21"/>
      <c r="P60" s="21"/>
      <c r="Q60" s="21"/>
      <c r="R60" s="21"/>
      <c r="S60" s="21"/>
      <c r="T60" s="24"/>
      <c r="U60" s="48"/>
      <c r="V60" s="63" t="s">
        <v>316</v>
      </c>
      <c r="W60" s="1178">
        <v>0</v>
      </c>
      <c r="X60" s="1178"/>
      <c r="Y60" s="1178"/>
      <c r="Z60" s="1184"/>
      <c r="AA60" s="24" t="s">
        <v>316</v>
      </c>
      <c r="AB60" s="1181">
        <f>W60</f>
        <v>0</v>
      </c>
      <c r="AC60" s="1181"/>
      <c r="AD60" s="1181"/>
      <c r="AE60" s="1237"/>
      <c r="AF60" s="24" t="s">
        <v>316</v>
      </c>
      <c r="AG60" s="1178">
        <f>W60</f>
        <v>0</v>
      </c>
      <c r="AH60" s="1178"/>
      <c r="AI60" s="1178"/>
      <c r="AJ60" s="1184"/>
      <c r="AK60" s="7"/>
      <c r="AL60" s="7"/>
    </row>
    <row r="61" spans="2:74">
      <c r="B61" s="16"/>
      <c r="C61" s="7"/>
      <c r="D61" s="24"/>
      <c r="E61" s="1139" t="s">
        <v>579</v>
      </c>
      <c r="F61" s="1139"/>
      <c r="G61" s="1139"/>
      <c r="H61" s="1139"/>
      <c r="I61" s="1139"/>
      <c r="J61" s="1139"/>
      <c r="K61" s="1139"/>
      <c r="L61" s="1139"/>
      <c r="M61" s="1139"/>
      <c r="N61" s="1139"/>
      <c r="O61" s="21"/>
      <c r="P61" s="21"/>
      <c r="Q61" s="21"/>
      <c r="R61" s="21"/>
      <c r="S61" s="21"/>
      <c r="T61" s="24"/>
      <c r="U61" s="48"/>
      <c r="V61" s="24" t="s">
        <v>316</v>
      </c>
      <c r="W61" s="1182"/>
      <c r="X61" s="1182"/>
      <c r="Y61" s="1182"/>
      <c r="Z61" s="1183"/>
      <c r="AA61" s="24" t="s">
        <v>316</v>
      </c>
      <c r="AB61" s="1182"/>
      <c r="AC61" s="1182"/>
      <c r="AD61" s="1182"/>
      <c r="AE61" s="1183"/>
      <c r="AF61" s="24" t="s">
        <v>316</v>
      </c>
      <c r="AG61" s="1178">
        <v>0</v>
      </c>
      <c r="AH61" s="1178"/>
      <c r="AI61" s="1178"/>
      <c r="AJ61" s="1184"/>
      <c r="AK61" s="7"/>
      <c r="AL61" s="7"/>
    </row>
    <row r="62" spans="2:74">
      <c r="B62" s="16"/>
      <c r="C62" s="7"/>
      <c r="D62" s="24"/>
      <c r="E62" s="1139" t="s">
        <v>580</v>
      </c>
      <c r="F62" s="1139"/>
      <c r="G62" s="1139"/>
      <c r="H62" s="1139"/>
      <c r="I62" s="1139"/>
      <c r="J62" s="1139"/>
      <c r="K62" s="1139"/>
      <c r="L62" s="1139"/>
      <c r="M62" s="1139"/>
      <c r="N62" s="1139"/>
      <c r="O62" s="21"/>
      <c r="P62" s="21"/>
      <c r="Q62" s="21"/>
      <c r="R62" s="21"/>
      <c r="S62" s="21"/>
      <c r="T62" s="24"/>
      <c r="U62" s="48"/>
      <c r="V62" s="24" t="s">
        <v>316</v>
      </c>
      <c r="W62" s="1182"/>
      <c r="X62" s="1182"/>
      <c r="Y62" s="1182"/>
      <c r="Z62" s="1183"/>
      <c r="AA62" s="24" t="s">
        <v>316</v>
      </c>
      <c r="AB62" s="1182"/>
      <c r="AC62" s="1182"/>
      <c r="AD62" s="1182"/>
      <c r="AE62" s="1183"/>
      <c r="AF62" s="24" t="s">
        <v>316</v>
      </c>
      <c r="AG62" s="1178">
        <v>0</v>
      </c>
      <c r="AH62" s="1178"/>
      <c r="AI62" s="1178"/>
      <c r="AJ62" s="1184"/>
      <c r="AK62" s="7"/>
      <c r="AL62" s="7"/>
    </row>
    <row r="63" spans="2:74" ht="11.25" customHeight="1">
      <c r="B63" s="16"/>
      <c r="C63" s="7"/>
      <c r="D63" s="24"/>
      <c r="E63" s="1139" t="s">
        <v>581</v>
      </c>
      <c r="F63" s="1139"/>
      <c r="G63" s="1139"/>
      <c r="H63" s="1139"/>
      <c r="I63" s="1139"/>
      <c r="J63" s="1139"/>
      <c r="K63" s="1139"/>
      <c r="L63" s="1139"/>
      <c r="M63" s="1139"/>
      <c r="N63" s="1139"/>
      <c r="O63" s="21"/>
      <c r="P63" s="21"/>
      <c r="Q63" s="21"/>
      <c r="R63" s="21"/>
      <c r="S63" s="21"/>
      <c r="T63" s="24"/>
      <c r="U63" s="48"/>
      <c r="V63" s="24" t="s">
        <v>316</v>
      </c>
      <c r="W63" s="1182"/>
      <c r="X63" s="1182"/>
      <c r="Y63" s="1182"/>
      <c r="Z63" s="1183"/>
      <c r="AA63" s="24" t="s">
        <v>316</v>
      </c>
      <c r="AB63" s="1235"/>
      <c r="AC63" s="1235"/>
      <c r="AD63" s="1235"/>
      <c r="AE63" s="1236"/>
      <c r="AF63" s="24" t="s">
        <v>316</v>
      </c>
      <c r="AG63" s="1178">
        <v>0</v>
      </c>
      <c r="AH63" s="1178"/>
      <c r="AI63" s="1178"/>
      <c r="AJ63" s="1184"/>
      <c r="AK63" s="7"/>
      <c r="AL63" s="7"/>
    </row>
    <row r="64" spans="2:74" ht="12" customHeight="1">
      <c r="B64" s="16"/>
      <c r="C64" s="24" t="s">
        <v>490</v>
      </c>
      <c r="D64" s="24"/>
      <c r="E64" s="24"/>
      <c r="F64" s="24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48"/>
      <c r="V64" s="24"/>
      <c r="W64" s="24"/>
      <c r="X64" s="24"/>
      <c r="Y64" s="24"/>
      <c r="Z64" s="48"/>
      <c r="AA64" s="24"/>
      <c r="AB64" s="24"/>
      <c r="AC64" s="24"/>
      <c r="AD64" s="24"/>
      <c r="AE64" s="48"/>
      <c r="AF64" s="24" t="s">
        <v>316</v>
      </c>
      <c r="AG64" s="1171">
        <f>AG53+AG55+AG59</f>
        <v>90240</v>
      </c>
      <c r="AH64" s="1172"/>
      <c r="AI64" s="1172"/>
      <c r="AJ64" s="1173"/>
      <c r="AK64" s="7"/>
      <c r="AL64" s="7"/>
    </row>
    <row r="65" spans="2:43" ht="11.25" customHeight="1">
      <c r="B65" s="16"/>
      <c r="C65" s="24" t="s">
        <v>491</v>
      </c>
      <c r="D65" s="24"/>
      <c r="E65" s="24"/>
      <c r="F65" s="24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48"/>
      <c r="V65" s="24"/>
      <c r="W65" s="24"/>
      <c r="X65" s="24"/>
      <c r="Y65" s="24"/>
      <c r="Z65" s="48"/>
      <c r="AA65" s="24"/>
      <c r="AB65" s="24"/>
      <c r="AC65" s="24"/>
      <c r="AD65" s="24"/>
      <c r="AE65" s="48"/>
      <c r="AF65" s="24" t="s">
        <v>316</v>
      </c>
      <c r="AG65" s="1174">
        <f>AG48-AG64</f>
        <v>622434</v>
      </c>
      <c r="AH65" s="1175"/>
      <c r="AI65" s="1175"/>
      <c r="AJ65" s="1176"/>
      <c r="AK65" s="7"/>
      <c r="AL65" s="7"/>
    </row>
    <row r="66" spans="2:43" ht="10.5" customHeight="1">
      <c r="B66" s="16"/>
      <c r="C66" s="24" t="s">
        <v>492</v>
      </c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48"/>
      <c r="V66" s="24"/>
      <c r="W66" s="24"/>
      <c r="X66" s="24"/>
      <c r="Y66" s="24"/>
      <c r="Z66" s="48"/>
      <c r="AA66" s="24"/>
      <c r="AB66" s="24"/>
      <c r="AC66" s="24"/>
      <c r="AD66" s="24"/>
      <c r="AE66" s="48"/>
      <c r="AF66" s="24" t="s">
        <v>316</v>
      </c>
      <c r="AG66" s="1174">
        <f>'Income Tax Ass New.'!I52</f>
        <v>622440</v>
      </c>
      <c r="AH66" s="1174"/>
      <c r="AI66" s="1174"/>
      <c r="AJ66" s="1177"/>
      <c r="AK66" s="7"/>
      <c r="AL66" s="7"/>
      <c r="AN66" s="93"/>
      <c r="AO66" s="741" t="s">
        <v>231</v>
      </c>
      <c r="AP66" s="742" t="s">
        <v>231</v>
      </c>
      <c r="AQ66" s="743" t="s">
        <v>231</v>
      </c>
    </row>
    <row r="67" spans="2:43" ht="10.5" customHeight="1">
      <c r="B67" s="16"/>
      <c r="C67" s="24" t="s">
        <v>493</v>
      </c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48"/>
      <c r="V67" s="24"/>
      <c r="W67" s="24"/>
      <c r="X67" s="24"/>
      <c r="Y67" s="24"/>
      <c r="Z67" s="48"/>
      <c r="AA67" s="24"/>
      <c r="AB67" s="24"/>
      <c r="AC67" s="24"/>
      <c r="AD67" s="24"/>
      <c r="AE67" s="48"/>
      <c r="AF67" s="24"/>
      <c r="AG67" s="1174">
        <v>0</v>
      </c>
      <c r="AH67" s="1174"/>
      <c r="AI67" s="1174"/>
      <c r="AJ67" s="1177"/>
      <c r="AK67" s="7"/>
      <c r="AL67" s="7"/>
    </row>
    <row r="68" spans="2:43" ht="10.5" customHeight="1">
      <c r="B68" s="16"/>
      <c r="C68" s="24" t="s">
        <v>494</v>
      </c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48"/>
      <c r="V68" s="24"/>
      <c r="W68" s="24"/>
      <c r="X68" s="24"/>
      <c r="Y68" s="24"/>
      <c r="Z68" s="48"/>
      <c r="AA68" s="24"/>
      <c r="AB68" s="24"/>
      <c r="AC68" s="24"/>
      <c r="AD68" s="24"/>
      <c r="AE68" s="48"/>
      <c r="AF68" s="24"/>
      <c r="AG68" s="1174">
        <f>'Income Tax Ass New.'!I55</f>
        <v>0</v>
      </c>
      <c r="AH68" s="1174"/>
      <c r="AI68" s="1174"/>
      <c r="AJ68" s="1177"/>
      <c r="AK68" s="7"/>
      <c r="AL68" s="7"/>
    </row>
    <row r="69" spans="2:43" ht="10.5" customHeight="1">
      <c r="B69" s="16"/>
      <c r="C69" s="24" t="s">
        <v>495</v>
      </c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48"/>
      <c r="V69" s="24"/>
      <c r="W69" s="24"/>
      <c r="X69" s="24"/>
      <c r="Y69" s="24"/>
      <c r="Z69" s="48"/>
      <c r="AA69" s="24"/>
      <c r="AB69" s="24"/>
      <c r="AC69" s="24"/>
      <c r="AD69" s="24"/>
      <c r="AE69" s="48"/>
      <c r="AF69" s="24" t="s">
        <v>316</v>
      </c>
      <c r="AG69" s="1174">
        <f>SUM('Income Tax Ass New.'!$I$61)</f>
        <v>0</v>
      </c>
      <c r="AH69" s="1174"/>
      <c r="AI69" s="1174"/>
      <c r="AJ69" s="1177"/>
      <c r="AK69" s="7"/>
      <c r="AL69" s="7"/>
    </row>
    <row r="70" spans="2:43" ht="11.25" customHeight="1">
      <c r="B70" s="16"/>
      <c r="C70" s="24" t="s">
        <v>496</v>
      </c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48"/>
      <c r="V70" s="24"/>
      <c r="W70" s="24"/>
      <c r="X70" s="24"/>
      <c r="Y70" s="24"/>
      <c r="Z70" s="48"/>
      <c r="AA70" s="24"/>
      <c r="AB70" s="24"/>
      <c r="AC70" s="24"/>
      <c r="AD70" s="24"/>
      <c r="AE70" s="48"/>
      <c r="AF70" s="24" t="s">
        <v>316</v>
      </c>
      <c r="AG70" s="1174">
        <f>AG68+AG69</f>
        <v>0</v>
      </c>
      <c r="AH70" s="1174"/>
      <c r="AI70" s="1174"/>
      <c r="AJ70" s="1177"/>
      <c r="AK70" s="7"/>
      <c r="AL70" s="7"/>
    </row>
    <row r="71" spans="2:43" ht="11.25" customHeight="1">
      <c r="B71" s="16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48"/>
      <c r="V71" s="24"/>
      <c r="W71" s="24"/>
      <c r="X71" s="24"/>
      <c r="Y71" s="24"/>
      <c r="Z71" s="48"/>
      <c r="AA71" s="45" t="s">
        <v>497</v>
      </c>
      <c r="AB71" s="131"/>
      <c r="AC71" s="24"/>
      <c r="AD71" s="24"/>
      <c r="AE71" s="48"/>
      <c r="AF71" s="24"/>
      <c r="AG71" s="1174">
        <f>SUM('Income Tax Ass New.'!$I$64)</f>
        <v>0</v>
      </c>
      <c r="AH71" s="1174"/>
      <c r="AI71" s="1174"/>
      <c r="AJ71" s="1177"/>
      <c r="AK71" s="7"/>
      <c r="AL71" s="7"/>
    </row>
    <row r="72" spans="2:43" ht="13.5" customHeight="1">
      <c r="B72" s="16"/>
      <c r="C72" s="24" t="s">
        <v>498</v>
      </c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48"/>
      <c r="V72" s="24"/>
      <c r="W72" s="24"/>
      <c r="X72" s="24"/>
      <c r="Y72" s="24"/>
      <c r="Z72" s="48"/>
      <c r="AA72" s="24"/>
      <c r="AB72" s="24"/>
      <c r="AC72" s="24"/>
      <c r="AD72" s="24"/>
      <c r="AE72" s="48"/>
      <c r="AF72" s="24" t="s">
        <v>316</v>
      </c>
      <c r="AG72" s="1174">
        <v>0</v>
      </c>
      <c r="AH72" s="1174"/>
      <c r="AI72" s="1174"/>
      <c r="AJ72" s="1177"/>
      <c r="AK72" s="7"/>
      <c r="AL72" s="7"/>
    </row>
    <row r="73" spans="2:43" ht="13.5" customHeight="1">
      <c r="B73" s="16"/>
      <c r="C73" s="47">
        <v>18</v>
      </c>
      <c r="D73" s="24" t="s">
        <v>499</v>
      </c>
      <c r="E73" s="24"/>
      <c r="F73" s="24"/>
      <c r="G73" s="24" t="s">
        <v>500</v>
      </c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48"/>
      <c r="V73" s="24"/>
      <c r="W73" s="24"/>
      <c r="X73" s="24"/>
      <c r="Y73" s="24"/>
      <c r="Z73" s="48"/>
      <c r="AA73" s="24"/>
      <c r="AB73" s="24"/>
      <c r="AC73" s="24"/>
      <c r="AD73" s="24"/>
      <c r="AE73" s="48"/>
      <c r="AF73" s="24"/>
      <c r="AG73" s="1162">
        <f>'Income Tax Ass New.'!I65</f>
        <v>22000</v>
      </c>
      <c r="AH73" s="1162"/>
      <c r="AI73" s="1162"/>
      <c r="AJ73" s="1163"/>
      <c r="AK73" s="7"/>
      <c r="AL73" s="7"/>
    </row>
    <row r="74" spans="2:43" ht="12.75" customHeight="1">
      <c r="B74" s="16"/>
      <c r="C74" s="116" t="s">
        <v>582</v>
      </c>
      <c r="D74" s="117"/>
      <c r="E74" s="117"/>
      <c r="F74" s="117"/>
      <c r="G74" s="117"/>
      <c r="H74" s="117"/>
      <c r="I74" s="117"/>
      <c r="J74" s="117"/>
      <c r="K74" s="117"/>
      <c r="L74" s="117"/>
      <c r="M74" s="117"/>
      <c r="N74" s="117"/>
      <c r="O74" s="117"/>
      <c r="P74" s="117"/>
      <c r="Q74" s="117"/>
      <c r="R74" s="117"/>
      <c r="S74" s="117"/>
      <c r="T74" s="117"/>
      <c r="U74" s="129"/>
      <c r="V74" s="117"/>
      <c r="W74" s="117"/>
      <c r="X74" s="117"/>
      <c r="Y74" s="117"/>
      <c r="Z74" s="129"/>
      <c r="AA74" s="117"/>
      <c r="AB74" s="117"/>
      <c r="AC74" s="117"/>
      <c r="AD74" s="117"/>
      <c r="AE74" s="129"/>
      <c r="AF74" s="116" t="s">
        <v>316</v>
      </c>
      <c r="AG74" s="1171">
        <f>+AG71-AG72-AG73</f>
        <v>-22000</v>
      </c>
      <c r="AH74" s="1172"/>
      <c r="AI74" s="1172"/>
      <c r="AJ74" s="1234"/>
      <c r="AK74" s="7"/>
      <c r="AL74" s="7"/>
    </row>
    <row r="75" spans="2:43" ht="12" customHeight="1"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104"/>
      <c r="V75" s="7"/>
      <c r="W75" s="7"/>
      <c r="X75" s="7"/>
      <c r="Y75" s="7"/>
      <c r="Z75" s="104"/>
      <c r="AA75" s="7"/>
      <c r="AB75" s="7"/>
      <c r="AC75" s="7"/>
      <c r="AD75" s="7"/>
      <c r="AE75" s="104"/>
      <c r="AF75" s="7"/>
      <c r="AG75" s="7"/>
      <c r="AH75" s="7"/>
      <c r="AI75" s="45" t="s">
        <v>503</v>
      </c>
      <c r="AJ75" s="24"/>
      <c r="AK75" s="24"/>
      <c r="AL75" s="7"/>
    </row>
    <row r="76" spans="2:43" ht="11.25" customHeight="1">
      <c r="B76" s="52" t="s">
        <v>504</v>
      </c>
      <c r="C76" s="52"/>
      <c r="D76" s="52"/>
      <c r="E76" s="52"/>
      <c r="F76" s="75"/>
      <c r="G76" s="75"/>
      <c r="H76" s="1168">
        <f>'Personal Information'!$C$29</f>
        <v>0</v>
      </c>
      <c r="I76" s="1168"/>
      <c r="J76" s="1168"/>
      <c r="K76" s="1168"/>
      <c r="L76" s="1168"/>
      <c r="M76" s="1168"/>
      <c r="N76" s="1168"/>
      <c r="O76" s="1168"/>
      <c r="P76" s="1168"/>
      <c r="Q76" s="69"/>
      <c r="R76" s="69"/>
      <c r="S76" s="69"/>
      <c r="T76" s="75" t="s">
        <v>505</v>
      </c>
      <c r="U76" s="75"/>
      <c r="V76" s="75"/>
      <c r="W76" s="75"/>
      <c r="X76" s="1168">
        <f>'Personal Information'!$C$32</f>
        <v>0</v>
      </c>
      <c r="Y76" s="1168"/>
      <c r="Z76" s="1168"/>
      <c r="AA76" s="1168"/>
      <c r="AB76" s="1168"/>
      <c r="AC76" s="1168"/>
      <c r="AD76" s="1168"/>
      <c r="AE76" s="1168"/>
      <c r="AF76" s="1168"/>
      <c r="AG76" s="1168"/>
      <c r="AH76" s="1168"/>
      <c r="AI76" s="1168"/>
      <c r="AJ76" s="75"/>
      <c r="AK76" s="75"/>
      <c r="AL76" s="75"/>
    </row>
    <row r="77" spans="2:43" ht="12" customHeight="1">
      <c r="B77" s="75" t="s">
        <v>506</v>
      </c>
      <c r="C77" s="75"/>
      <c r="D77" s="75"/>
      <c r="E77" s="75"/>
      <c r="F77" s="75"/>
      <c r="G77" s="75"/>
      <c r="H77" s="75"/>
      <c r="I77" s="75"/>
      <c r="J77" s="75"/>
      <c r="K77" s="1168">
        <f>'Personal Information'!$C$33</f>
        <v>0</v>
      </c>
      <c r="L77" s="1168"/>
      <c r="M77" s="1168"/>
      <c r="N77" s="1168"/>
      <c r="O77" s="1168"/>
      <c r="P77" s="1168"/>
      <c r="Q77" s="1168"/>
      <c r="R77" s="1168"/>
      <c r="S77" s="1168"/>
      <c r="T77" s="1168"/>
      <c r="U77" s="75" t="s">
        <v>507</v>
      </c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</row>
    <row r="78" spans="2:43" ht="11.25" customHeight="1">
      <c r="B78" s="75" t="s">
        <v>508</v>
      </c>
      <c r="C78" s="75"/>
      <c r="D78" s="1169">
        <f>AG71</f>
        <v>0</v>
      </c>
      <c r="E78" s="1169"/>
      <c r="F78" s="1169"/>
      <c r="G78" s="1169"/>
      <c r="H78" s="1169"/>
      <c r="I78" s="75"/>
      <c r="J78" s="75"/>
      <c r="K78" s="75"/>
      <c r="L78" s="75"/>
      <c r="M78" s="1170"/>
      <c r="N78" s="1170"/>
      <c r="O78" s="1170"/>
      <c r="P78" s="1170"/>
      <c r="Q78" s="1170"/>
      <c r="R78" s="1170"/>
      <c r="S78" s="1170"/>
      <c r="T78" s="1170"/>
      <c r="U78" s="1170"/>
      <c r="V78" s="1170"/>
      <c r="W78" s="1170"/>
      <c r="X78" s="1170"/>
      <c r="Y78" s="1170"/>
      <c r="Z78" s="1170"/>
      <c r="AA78" s="1170"/>
      <c r="AB78" s="1170"/>
      <c r="AC78" s="1170"/>
      <c r="AD78" s="75"/>
      <c r="AE78" s="75"/>
      <c r="AF78" s="75" t="s">
        <v>509</v>
      </c>
      <c r="AG78" s="75"/>
      <c r="AH78" s="75"/>
      <c r="AI78" s="75"/>
      <c r="AJ78" s="75"/>
      <c r="AK78" s="75"/>
      <c r="AL78" s="75"/>
    </row>
    <row r="79" spans="2:43" ht="12.75" customHeight="1">
      <c r="B79" s="75" t="s">
        <v>510</v>
      </c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</row>
    <row r="80" spans="2:43" ht="13.5" customHeight="1">
      <c r="B80" s="75" t="s">
        <v>511</v>
      </c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</row>
    <row r="81" spans="2:74" ht="12" customHeight="1"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</row>
    <row r="82" spans="2:74" ht="12.75" customHeight="1">
      <c r="B82" s="75" t="s">
        <v>512</v>
      </c>
      <c r="C82" s="75"/>
      <c r="D82" s="75"/>
      <c r="E82" s="75"/>
      <c r="F82" s="75">
        <f>'Personal Information'!$C$35</f>
        <v>0</v>
      </c>
      <c r="G82" s="75"/>
      <c r="H82" s="75"/>
      <c r="I82" s="75"/>
      <c r="J82" s="75"/>
      <c r="K82" s="75"/>
      <c r="L82" s="75"/>
      <c r="M82" s="75" t="s">
        <v>513</v>
      </c>
      <c r="N82" s="75"/>
      <c r="O82" s="123" t="str">
        <f>'Personal Information'!$C$36</f>
        <v>31-05-2024</v>
      </c>
      <c r="P82" s="75"/>
      <c r="Q82" s="75"/>
      <c r="R82" s="75"/>
      <c r="S82" s="75"/>
      <c r="T82" s="75" t="s">
        <v>514</v>
      </c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</row>
    <row r="83" spans="2:74" ht="11.25" customHeight="1">
      <c r="B83" s="75" t="s">
        <v>311</v>
      </c>
      <c r="C83" s="75"/>
      <c r="D83" s="75"/>
      <c r="E83" s="75"/>
      <c r="F83" s="1170">
        <f>'Personal Information'!$C$33</f>
        <v>0</v>
      </c>
      <c r="G83" s="1170"/>
      <c r="H83" s="1170"/>
      <c r="I83" s="1170"/>
      <c r="J83" s="1170"/>
      <c r="K83" s="1170"/>
      <c r="L83" s="75"/>
      <c r="M83" s="75"/>
      <c r="N83" s="75"/>
      <c r="O83" s="75"/>
      <c r="P83" s="75"/>
      <c r="Q83" s="75"/>
      <c r="R83" s="75"/>
      <c r="S83" s="75"/>
      <c r="T83" s="75" t="s">
        <v>515</v>
      </c>
      <c r="U83" s="75"/>
      <c r="V83" s="75"/>
      <c r="W83" s="75"/>
      <c r="X83" s="69"/>
      <c r="Y83" s="1170">
        <f>'Personal Information'!$C$29</f>
        <v>0</v>
      </c>
      <c r="Z83" s="1170"/>
      <c r="AA83" s="1170"/>
      <c r="AB83" s="1170"/>
      <c r="AC83" s="1170"/>
      <c r="AD83" s="1170"/>
      <c r="AE83" s="1170"/>
      <c r="AF83" s="75"/>
      <c r="AG83" s="75"/>
      <c r="AH83" s="75"/>
      <c r="AI83" s="75"/>
      <c r="AJ83" s="75"/>
      <c r="AK83" s="75"/>
      <c r="AL83" s="75"/>
    </row>
    <row r="84" spans="2:74" ht="17.100000000000001" customHeight="1">
      <c r="B84" s="75"/>
      <c r="C84" s="75"/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69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69"/>
      <c r="AN84" s="69"/>
      <c r="AO84" s="69"/>
      <c r="AP84" s="69"/>
      <c r="AQ84" s="69"/>
      <c r="AR84" s="69"/>
      <c r="AS84" s="69"/>
      <c r="AT84" s="69"/>
      <c r="AU84" s="69"/>
      <c r="AV84" s="69"/>
    </row>
    <row r="85" spans="2:74" ht="17.100000000000001" customHeight="1">
      <c r="B85" s="75" t="s">
        <v>516</v>
      </c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69"/>
      <c r="AN85" s="69"/>
      <c r="AO85" s="69"/>
      <c r="AP85" s="69"/>
      <c r="AQ85" s="69"/>
      <c r="AR85" s="69"/>
      <c r="AS85" s="69"/>
      <c r="AT85" s="69"/>
      <c r="AU85" s="69"/>
      <c r="AV85" s="69"/>
      <c r="BV85" s="7"/>
    </row>
    <row r="86" spans="2:74" ht="17.100000000000001" customHeight="1">
      <c r="B86" s="75" t="s">
        <v>517</v>
      </c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69"/>
      <c r="AN86" s="69"/>
      <c r="AO86" s="69"/>
      <c r="AP86" s="69"/>
      <c r="AQ86" s="69"/>
      <c r="AR86" s="69"/>
      <c r="AS86" s="69"/>
      <c r="AT86" s="69"/>
      <c r="AU86" s="69"/>
      <c r="AV86" s="69"/>
      <c r="BV86" s="7"/>
    </row>
    <row r="87" spans="2:74" ht="17.100000000000001" customHeight="1">
      <c r="B87" s="75" t="s">
        <v>518</v>
      </c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69"/>
      <c r="AN87" s="69"/>
      <c r="AO87" s="69"/>
      <c r="AP87" s="69"/>
      <c r="AQ87" s="69"/>
      <c r="AR87" s="69"/>
      <c r="AS87" s="69"/>
      <c r="AT87" s="69"/>
      <c r="AU87" s="69"/>
      <c r="AV87" s="69"/>
    </row>
    <row r="88" spans="2:74" ht="17.100000000000001" customHeight="1">
      <c r="B88" s="75" t="s">
        <v>519</v>
      </c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69"/>
      <c r="AN88" s="69"/>
      <c r="AO88" s="69"/>
      <c r="AP88" s="69"/>
      <c r="AQ88" s="69"/>
      <c r="AR88" s="69"/>
      <c r="AS88" s="69"/>
      <c r="AT88" s="69"/>
      <c r="AU88" s="69"/>
      <c r="AV88" s="69"/>
    </row>
    <row r="89" spans="2:74" ht="17.100000000000001" customHeight="1">
      <c r="B89" s="75" t="s">
        <v>520</v>
      </c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69"/>
      <c r="AN89" s="69"/>
      <c r="AO89" s="69"/>
      <c r="AP89" s="69"/>
      <c r="AQ89" s="69"/>
      <c r="AR89" s="69"/>
      <c r="AS89" s="69"/>
      <c r="AT89" s="69"/>
      <c r="AU89" s="69"/>
      <c r="AV89" s="69"/>
    </row>
    <row r="90" spans="2:74" ht="17.100000000000001" customHeight="1">
      <c r="B90" s="75" t="s">
        <v>521</v>
      </c>
      <c r="C90" s="75"/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BV90" s="7"/>
    </row>
    <row r="91" spans="2:74" ht="17.100000000000001" customHeight="1">
      <c r="B91" s="75" t="s">
        <v>522</v>
      </c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  <c r="AJ91" s="75"/>
      <c r="AK91" s="75"/>
      <c r="AL91" s="75"/>
      <c r="AM91" s="69"/>
      <c r="AN91" s="69"/>
      <c r="AO91" s="69"/>
      <c r="AP91" s="69"/>
      <c r="AQ91" s="69"/>
      <c r="AR91" s="69"/>
      <c r="AS91" s="69"/>
      <c r="AT91" s="69"/>
      <c r="AU91" s="69"/>
      <c r="AV91" s="69"/>
    </row>
    <row r="92" spans="2:74" ht="17.100000000000001" customHeight="1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124" t="s">
        <v>523</v>
      </c>
      <c r="P92" s="124"/>
      <c r="Q92" s="124"/>
      <c r="R92" s="124"/>
      <c r="S92" s="124"/>
      <c r="T92" s="124"/>
      <c r="U92" s="130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69"/>
      <c r="AN92" s="69"/>
      <c r="AO92" s="69"/>
      <c r="AP92" s="69"/>
      <c r="AQ92" s="69"/>
      <c r="AR92" s="69"/>
      <c r="AS92" s="69"/>
      <c r="AT92" s="69"/>
      <c r="AU92" s="69"/>
      <c r="AV92" s="69"/>
    </row>
    <row r="93" spans="2:74" ht="17.100000000000001" customHeight="1">
      <c r="B93" s="1161" t="s">
        <v>524</v>
      </c>
      <c r="C93" s="1161"/>
      <c r="D93" s="1161"/>
      <c r="E93" s="1161"/>
      <c r="F93" s="1161"/>
      <c r="G93" s="1161"/>
      <c r="H93" s="1161"/>
      <c r="I93" s="1161"/>
      <c r="J93" s="1161"/>
      <c r="K93" s="1161"/>
      <c r="L93" s="1161"/>
      <c r="M93" s="1161"/>
      <c r="N93" s="1161"/>
      <c r="O93" s="1161"/>
      <c r="P93" s="1161"/>
      <c r="Q93" s="1161"/>
      <c r="R93" s="1161"/>
      <c r="S93" s="1161"/>
      <c r="T93" s="1161"/>
      <c r="U93" s="1161"/>
      <c r="V93" s="1161"/>
      <c r="W93" s="1161"/>
      <c r="X93" s="1161"/>
      <c r="Y93" s="1161"/>
      <c r="Z93" s="1161"/>
      <c r="AA93" s="1161"/>
      <c r="AB93" s="1161"/>
      <c r="AC93" s="1161"/>
      <c r="AD93" s="1161"/>
      <c r="AE93" s="1161"/>
      <c r="AF93" s="1161"/>
      <c r="AG93" s="1161"/>
      <c r="AH93" s="1161"/>
      <c r="AI93" s="1161"/>
      <c r="AJ93" s="1161"/>
      <c r="AK93" s="1161"/>
      <c r="AL93" s="7"/>
      <c r="AM93" s="69"/>
      <c r="AN93" s="69"/>
      <c r="AO93" s="69"/>
      <c r="AP93" s="69"/>
      <c r="AQ93" s="69"/>
      <c r="AR93" s="69"/>
      <c r="AS93" s="69"/>
      <c r="AT93" s="69"/>
      <c r="AU93" s="69"/>
      <c r="AV93" s="69"/>
    </row>
    <row r="94" spans="2:74" ht="17.100000000000001" customHeight="1">
      <c r="B94" s="15" t="s">
        <v>525</v>
      </c>
      <c r="C94" s="118"/>
      <c r="D94" s="118"/>
      <c r="E94" s="118"/>
      <c r="F94" s="118"/>
      <c r="G94" s="118"/>
      <c r="H94" s="118"/>
      <c r="I94" s="118"/>
      <c r="J94" s="118"/>
      <c r="K94" s="118"/>
      <c r="L94" s="118"/>
      <c r="M94" s="118"/>
      <c r="N94" s="118"/>
      <c r="O94" s="118"/>
      <c r="P94" s="118"/>
      <c r="Q94" s="118"/>
      <c r="R94" s="118"/>
      <c r="S94" s="118"/>
      <c r="T94" s="118"/>
      <c r="U94" s="118"/>
      <c r="V94" s="118"/>
      <c r="W94" s="118"/>
      <c r="X94" s="118"/>
      <c r="Y94" s="118"/>
      <c r="Z94" s="118"/>
      <c r="AA94" s="118"/>
      <c r="AB94" s="118"/>
      <c r="AC94" s="118"/>
      <c r="AD94" s="118"/>
      <c r="AE94" s="118"/>
      <c r="AF94" s="118"/>
      <c r="AG94" s="118"/>
      <c r="AH94" s="118"/>
      <c r="AI94" s="118"/>
      <c r="AJ94" s="118"/>
      <c r="AK94" s="118"/>
      <c r="AL94" s="51"/>
      <c r="AM94" s="69"/>
      <c r="AN94" s="69"/>
      <c r="AO94" s="69"/>
      <c r="AP94" s="69"/>
      <c r="AQ94" s="69"/>
      <c r="AR94" s="69"/>
      <c r="AS94" s="69"/>
      <c r="AT94" s="69"/>
      <c r="AU94" s="69"/>
      <c r="AV94" s="69"/>
    </row>
    <row r="95" spans="2:74" ht="17.100000000000001" customHeight="1">
      <c r="B95" s="39"/>
      <c r="C95" s="41"/>
      <c r="D95" s="41"/>
      <c r="E95" s="41"/>
      <c r="F95" s="41"/>
      <c r="G95" s="41"/>
      <c r="H95" s="41"/>
      <c r="J95" s="125"/>
      <c r="K95" s="31"/>
      <c r="L95" s="31"/>
      <c r="M95" s="31"/>
      <c r="N95" s="31" t="s">
        <v>526</v>
      </c>
      <c r="O95" s="31"/>
      <c r="P95" s="31"/>
      <c r="Q95" s="31"/>
      <c r="R95" s="31"/>
      <c r="S95" s="31"/>
      <c r="T95" s="31"/>
      <c r="U95" s="31"/>
      <c r="V95" s="41"/>
      <c r="W95" s="41"/>
      <c r="X95" s="41"/>
      <c r="Y95" s="41"/>
      <c r="Z95" s="41"/>
      <c r="AA95" s="41"/>
      <c r="AB95" s="41"/>
      <c r="AC95" s="31"/>
      <c r="AD95" s="31"/>
      <c r="AE95" s="31"/>
      <c r="AF95" s="31"/>
      <c r="AG95" s="31"/>
      <c r="AH95" s="31"/>
      <c r="AI95" s="31"/>
      <c r="AJ95" s="31"/>
      <c r="AK95" s="36"/>
      <c r="AM95" s="69"/>
      <c r="AN95" s="69"/>
      <c r="AO95" s="69"/>
      <c r="AP95" s="69"/>
      <c r="AQ95" s="69"/>
      <c r="AR95" s="69"/>
      <c r="AS95" s="69"/>
      <c r="AT95" s="69"/>
      <c r="AU95" s="69"/>
      <c r="AV95" s="69"/>
    </row>
    <row r="96" spans="2:74" ht="17.100000000000001" customHeight="1">
      <c r="B96" s="72" t="s">
        <v>527</v>
      </c>
      <c r="C96" s="32" t="s">
        <v>528</v>
      </c>
      <c r="I96" s="126"/>
      <c r="J96" s="33"/>
      <c r="K96" s="32"/>
      <c r="L96" s="32" t="s">
        <v>529</v>
      </c>
      <c r="M96" s="32"/>
      <c r="N96" s="32"/>
      <c r="O96" s="32"/>
      <c r="P96" s="32"/>
      <c r="Q96" s="32"/>
      <c r="R96" s="32"/>
      <c r="S96" s="33"/>
      <c r="U96" s="32" t="s">
        <v>530</v>
      </c>
      <c r="V96" s="32"/>
      <c r="AC96" s="125"/>
      <c r="AD96" s="32" t="s">
        <v>531</v>
      </c>
      <c r="AE96" s="32"/>
      <c r="AF96" s="32"/>
      <c r="AG96" s="32"/>
      <c r="AH96" s="32"/>
      <c r="AI96" s="32"/>
      <c r="AJ96" s="32"/>
      <c r="AK96" s="33"/>
      <c r="AM96" s="69"/>
      <c r="AN96" s="69"/>
      <c r="AO96" s="69"/>
      <c r="AP96" s="69"/>
      <c r="AQ96" s="69"/>
      <c r="AR96" s="69"/>
      <c r="AS96" s="69"/>
      <c r="AT96" s="69"/>
      <c r="AU96" s="69"/>
      <c r="AV96" s="69"/>
    </row>
    <row r="97" spans="1:81" ht="17.100000000000001" customHeight="1">
      <c r="B97" s="93"/>
      <c r="C97" s="32" t="s">
        <v>532</v>
      </c>
      <c r="D97" s="32"/>
      <c r="E97" s="32"/>
      <c r="F97" s="32"/>
      <c r="G97" s="32"/>
      <c r="H97" s="32"/>
      <c r="I97" s="32"/>
      <c r="J97" s="72"/>
      <c r="L97" s="32" t="s">
        <v>533</v>
      </c>
      <c r="M97" s="32"/>
      <c r="N97" s="32"/>
      <c r="O97" s="32"/>
      <c r="S97" s="93"/>
      <c r="U97" s="32" t="s">
        <v>534</v>
      </c>
      <c r="V97" s="32"/>
      <c r="AC97" s="93"/>
      <c r="AD97" s="32"/>
      <c r="AE97" s="32" t="s">
        <v>535</v>
      </c>
      <c r="AF97" s="32"/>
      <c r="AG97" s="32"/>
      <c r="AH97" s="32"/>
      <c r="AI97" s="32"/>
      <c r="AJ97" s="32"/>
      <c r="AK97" s="72"/>
      <c r="AM97" s="69"/>
      <c r="AN97" s="69"/>
      <c r="AO97" s="69"/>
      <c r="AP97" s="69"/>
      <c r="AQ97" s="69"/>
      <c r="AR97" s="69"/>
      <c r="AS97" s="69"/>
      <c r="AT97" s="69"/>
      <c r="AU97" s="69"/>
      <c r="AV97" s="69"/>
    </row>
    <row r="98" spans="1:81" ht="17.100000000000001" customHeight="1">
      <c r="B98" s="38"/>
      <c r="C98" s="40"/>
      <c r="D98" s="40"/>
      <c r="E98" s="40"/>
      <c r="F98" s="40"/>
      <c r="G98" s="40"/>
      <c r="H98" s="40"/>
      <c r="I98" s="40"/>
      <c r="J98" s="38"/>
      <c r="K98" s="40"/>
      <c r="L98" s="40"/>
      <c r="M98" s="40"/>
      <c r="N98" s="40"/>
      <c r="O98" s="40"/>
      <c r="P98" s="40"/>
      <c r="Q98" s="40"/>
      <c r="R98" s="40"/>
      <c r="S98" s="38"/>
      <c r="T98" s="40"/>
      <c r="U98" s="29" t="s">
        <v>536</v>
      </c>
      <c r="V98" s="29"/>
      <c r="W98" s="40"/>
      <c r="X98" s="40"/>
      <c r="Y98" s="40"/>
      <c r="Z98" s="40"/>
      <c r="AA98" s="40"/>
      <c r="AB98" s="40"/>
      <c r="AC98" s="38"/>
      <c r="AD98" s="40"/>
      <c r="AE98" s="40"/>
      <c r="AF98" s="40"/>
      <c r="AG98" s="40"/>
      <c r="AH98" s="40"/>
      <c r="AI98" s="40"/>
      <c r="AJ98" s="40"/>
      <c r="AK98" s="38"/>
      <c r="AM98" s="69"/>
      <c r="AN98" s="69"/>
      <c r="AO98" s="69"/>
      <c r="AP98" s="69"/>
      <c r="AQ98" s="69"/>
      <c r="AR98" s="69"/>
      <c r="AS98" s="69"/>
      <c r="AT98" s="69"/>
      <c r="AU98" s="69"/>
      <c r="AV98" s="69"/>
    </row>
    <row r="99" spans="1:81" ht="17.100000000000001" customHeight="1">
      <c r="B99" s="119">
        <v>1</v>
      </c>
      <c r="C99" s="35"/>
      <c r="D99" s="31"/>
      <c r="E99" s="1154">
        <f>'Salary Details'!$R$8</f>
        <v>2000</v>
      </c>
      <c r="F99" s="1154"/>
      <c r="G99" s="1154"/>
      <c r="H99" s="1154"/>
      <c r="I99" s="1154"/>
      <c r="J99" s="59"/>
      <c r="K99" s="127"/>
      <c r="L99" s="127"/>
      <c r="M99" s="127"/>
      <c r="N99" s="127"/>
      <c r="O99" s="127"/>
      <c r="P99" s="127"/>
      <c r="Q99" s="127"/>
      <c r="R99" s="127"/>
      <c r="S99" s="127"/>
      <c r="T99" s="127"/>
      <c r="U99" s="127"/>
      <c r="V99" s="127"/>
      <c r="W99" s="127"/>
      <c r="X99" s="127"/>
      <c r="Y99" s="127"/>
      <c r="Z99" s="127"/>
      <c r="AA99" s="127"/>
      <c r="AB99" s="127"/>
      <c r="AC99" s="127"/>
      <c r="AD99" s="127"/>
      <c r="AE99" s="127"/>
      <c r="AF99" s="127"/>
      <c r="AG99" s="127"/>
      <c r="AH99" s="127"/>
      <c r="AI99" s="127"/>
      <c r="AJ99" s="127"/>
      <c r="AK99" s="135"/>
      <c r="AL99" s="115"/>
      <c r="AM99" s="69"/>
      <c r="AN99" s="69"/>
      <c r="AO99" s="69"/>
      <c r="AP99" s="69"/>
      <c r="AQ99" s="69"/>
      <c r="AR99" s="69"/>
      <c r="AS99" s="69"/>
      <c r="AT99" s="69"/>
      <c r="AU99" s="69"/>
      <c r="AV99" s="69"/>
    </row>
    <row r="100" spans="1:81" ht="14.25" customHeight="1">
      <c r="B100" s="119">
        <v>2</v>
      </c>
      <c r="C100" s="31"/>
      <c r="D100" s="31"/>
      <c r="E100" s="1154">
        <f>'Salary Details'!$R$9</f>
        <v>2000</v>
      </c>
      <c r="F100" s="1154"/>
      <c r="G100" s="1154"/>
      <c r="H100" s="1154"/>
      <c r="I100" s="1154"/>
      <c r="J100" s="59"/>
      <c r="K100" s="127"/>
      <c r="L100" s="127"/>
      <c r="M100" s="127"/>
      <c r="N100" s="127"/>
      <c r="O100" s="127"/>
      <c r="P100" s="127"/>
      <c r="Q100" s="127"/>
      <c r="R100" s="127"/>
      <c r="S100" s="127"/>
      <c r="T100" s="127"/>
      <c r="U100" s="127"/>
      <c r="V100" s="127"/>
      <c r="W100" s="127"/>
      <c r="X100" s="127"/>
      <c r="Y100" s="127"/>
      <c r="Z100" s="127"/>
      <c r="AA100" s="127"/>
      <c r="AB100" s="127"/>
      <c r="AC100" s="127"/>
      <c r="AD100" s="127"/>
      <c r="AE100" s="127"/>
      <c r="AF100" s="127"/>
      <c r="AG100" s="127"/>
      <c r="AH100" s="127"/>
      <c r="AI100" s="127"/>
      <c r="AJ100" s="127"/>
      <c r="AK100" s="135"/>
      <c r="AL100" s="115"/>
    </row>
    <row r="101" spans="1:81" ht="17.100000000000001" customHeight="1">
      <c r="B101" s="119">
        <v>3</v>
      </c>
      <c r="C101" s="35"/>
      <c r="D101" s="31"/>
      <c r="E101" s="1154">
        <f>'Salary Details'!$R$10</f>
        <v>2000</v>
      </c>
      <c r="F101" s="1154"/>
      <c r="G101" s="1154"/>
      <c r="H101" s="1154"/>
      <c r="I101" s="1154"/>
      <c r="J101" s="59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127"/>
      <c r="AG101" s="127"/>
      <c r="AH101" s="127"/>
      <c r="AI101" s="127"/>
      <c r="AJ101" s="127"/>
      <c r="AK101" s="135"/>
      <c r="AL101" s="115"/>
    </row>
    <row r="102" spans="1:81" s="6" customFormat="1" ht="12.75" customHeight="1">
      <c r="A102" s="51"/>
      <c r="B102" s="119">
        <v>4</v>
      </c>
      <c r="C102" s="35"/>
      <c r="D102" s="31"/>
      <c r="E102" s="1154">
        <f>'Salary Details'!$R$11</f>
        <v>2000</v>
      </c>
      <c r="F102" s="1154"/>
      <c r="G102" s="1154"/>
      <c r="H102" s="1154"/>
      <c r="I102" s="1154"/>
      <c r="J102" s="59"/>
      <c r="K102" s="127"/>
      <c r="L102" s="127"/>
      <c r="M102" s="127"/>
      <c r="N102" s="127"/>
      <c r="O102" s="127"/>
      <c r="P102" s="127"/>
      <c r="Q102" s="127"/>
      <c r="R102" s="127"/>
      <c r="S102" s="127"/>
      <c r="T102" s="127"/>
      <c r="U102" s="127"/>
      <c r="V102" s="127"/>
      <c r="W102" s="127"/>
      <c r="X102" s="127"/>
      <c r="Y102" s="127"/>
      <c r="Z102" s="127"/>
      <c r="AA102" s="127"/>
      <c r="AB102" s="127"/>
      <c r="AC102" s="127"/>
      <c r="AD102" s="127"/>
      <c r="AE102" s="127"/>
      <c r="AF102" s="127"/>
      <c r="AG102" s="127"/>
      <c r="AH102" s="127"/>
      <c r="AI102" s="127"/>
      <c r="AJ102" s="127"/>
      <c r="AK102" s="135"/>
      <c r="AL102" s="115"/>
    </row>
    <row r="103" spans="1:81" ht="12.75" customHeight="1">
      <c r="A103" s="93"/>
      <c r="B103" s="119">
        <v>5</v>
      </c>
      <c r="C103" s="35"/>
      <c r="D103" s="31"/>
      <c r="E103" s="1154">
        <f>'Salary Details'!$R$12</f>
        <v>2000</v>
      </c>
      <c r="F103" s="1154"/>
      <c r="G103" s="1154"/>
      <c r="H103" s="1154"/>
      <c r="I103" s="1154"/>
      <c r="J103" s="59"/>
      <c r="K103" s="127"/>
      <c r="L103" s="127"/>
      <c r="M103" s="127"/>
      <c r="N103" s="127"/>
      <c r="O103" s="127"/>
      <c r="P103" s="127"/>
      <c r="Q103" s="127"/>
      <c r="R103" s="127"/>
      <c r="S103" s="127"/>
      <c r="T103" s="127"/>
      <c r="U103" s="127"/>
      <c r="V103" s="127"/>
      <c r="W103" s="127"/>
      <c r="X103" s="127"/>
      <c r="Y103" s="127"/>
      <c r="Z103" s="127"/>
      <c r="AA103" s="127"/>
      <c r="AB103" s="127"/>
      <c r="AC103" s="127"/>
      <c r="AD103" s="127"/>
      <c r="AE103" s="127"/>
      <c r="AF103" s="127"/>
      <c r="AG103" s="127"/>
      <c r="AH103" s="127"/>
      <c r="AI103" s="127"/>
      <c r="AJ103" s="127"/>
      <c r="AK103" s="135"/>
      <c r="AL103" s="115"/>
      <c r="BX103" s="32"/>
      <c r="BY103" s="32"/>
      <c r="BZ103" s="32"/>
      <c r="CA103" s="32"/>
      <c r="CB103" s="32"/>
      <c r="CC103" s="32"/>
    </row>
    <row r="104" spans="1:81" ht="11.45" customHeight="1">
      <c r="A104" s="93"/>
      <c r="B104" s="119">
        <v>6</v>
      </c>
      <c r="C104" s="35"/>
      <c r="D104" s="31"/>
      <c r="E104" s="1154">
        <f>'Salary Details'!$R$13</f>
        <v>2000</v>
      </c>
      <c r="F104" s="1154"/>
      <c r="G104" s="1154"/>
      <c r="H104" s="1154"/>
      <c r="I104" s="1154"/>
      <c r="J104" s="59"/>
      <c r="K104" s="127"/>
      <c r="L104" s="127"/>
      <c r="M104" s="127"/>
      <c r="N104" s="127"/>
      <c r="O104" s="127"/>
      <c r="P104" s="127"/>
      <c r="Q104" s="127"/>
      <c r="R104" s="127"/>
      <c r="S104" s="127"/>
      <c r="T104" s="127"/>
      <c r="U104" s="127"/>
      <c r="V104" s="127"/>
      <c r="W104" s="127"/>
      <c r="X104" s="127"/>
      <c r="Y104" s="127"/>
      <c r="Z104" s="127"/>
      <c r="AA104" s="127"/>
      <c r="AB104" s="127"/>
      <c r="AC104" s="127"/>
      <c r="AD104" s="127"/>
      <c r="AE104" s="127"/>
      <c r="AF104" s="127"/>
      <c r="AG104" s="127"/>
      <c r="AH104" s="127"/>
      <c r="AI104" s="127"/>
      <c r="AJ104" s="127"/>
      <c r="AK104" s="135"/>
      <c r="AL104" s="115"/>
      <c r="BX104" s="32"/>
      <c r="BY104" s="32"/>
      <c r="BZ104" s="32"/>
      <c r="CA104" s="32"/>
      <c r="CB104" s="32"/>
      <c r="CC104" s="32"/>
    </row>
    <row r="105" spans="1:81" ht="10.9" customHeight="1">
      <c r="A105" s="93"/>
      <c r="B105" s="119">
        <v>7</v>
      </c>
      <c r="C105" s="35"/>
      <c r="D105" s="31"/>
      <c r="E105" s="1154">
        <f>'Salary Details'!$R$14</f>
        <v>2000</v>
      </c>
      <c r="F105" s="1154"/>
      <c r="G105" s="1154"/>
      <c r="H105" s="1154"/>
      <c r="I105" s="1154"/>
      <c r="J105" s="59"/>
      <c r="K105" s="127"/>
      <c r="L105" s="127"/>
      <c r="M105" s="127"/>
      <c r="N105" s="127"/>
      <c r="O105" s="127"/>
      <c r="P105" s="127"/>
      <c r="Q105" s="127"/>
      <c r="R105" s="127"/>
      <c r="S105" s="127"/>
      <c r="T105" s="127"/>
      <c r="U105" s="127"/>
      <c r="V105" s="127"/>
      <c r="W105" s="127"/>
      <c r="X105" s="127"/>
      <c r="Y105" s="127"/>
      <c r="Z105" s="127"/>
      <c r="AA105" s="127"/>
      <c r="AB105" s="127"/>
      <c r="AC105" s="127"/>
      <c r="AD105" s="127"/>
      <c r="AE105" s="127"/>
      <c r="AF105" s="127"/>
      <c r="AG105" s="127"/>
      <c r="AH105" s="127"/>
      <c r="AI105" s="127"/>
      <c r="AJ105" s="127"/>
      <c r="AK105" s="135"/>
      <c r="AL105" s="115"/>
      <c r="BX105" s="32"/>
      <c r="BY105" s="32"/>
      <c r="BZ105" s="32"/>
      <c r="CA105" s="32"/>
    </row>
    <row r="106" spans="1:81" ht="10.15" customHeight="1">
      <c r="A106" s="93"/>
      <c r="B106" s="119">
        <v>8</v>
      </c>
      <c r="C106" s="35"/>
      <c r="D106" s="31"/>
      <c r="E106" s="1154">
        <f>'Salary Details'!$R$15</f>
        <v>2000</v>
      </c>
      <c r="F106" s="1154"/>
      <c r="G106" s="1154"/>
      <c r="H106" s="1154"/>
      <c r="I106" s="1154"/>
      <c r="J106" s="59"/>
      <c r="K106" s="127"/>
      <c r="L106" s="127"/>
      <c r="M106" s="127"/>
      <c r="N106" s="127"/>
      <c r="O106" s="127"/>
      <c r="P106" s="127"/>
      <c r="Q106" s="127"/>
      <c r="R106" s="127"/>
      <c r="S106" s="127"/>
      <c r="T106" s="127"/>
      <c r="U106" s="127"/>
      <c r="V106" s="127"/>
      <c r="W106" s="127"/>
      <c r="X106" s="127"/>
      <c r="Y106" s="127"/>
      <c r="Z106" s="127"/>
      <c r="AA106" s="127"/>
      <c r="AB106" s="127"/>
      <c r="AC106" s="127"/>
      <c r="AD106" s="127"/>
      <c r="AE106" s="127"/>
      <c r="AF106" s="127"/>
      <c r="AG106" s="127"/>
      <c r="AH106" s="127"/>
      <c r="AI106" s="127"/>
      <c r="AJ106" s="127"/>
      <c r="AK106" s="135"/>
      <c r="AL106" s="136"/>
    </row>
    <row r="107" spans="1:81" ht="12" customHeight="1">
      <c r="B107" s="119">
        <v>9</v>
      </c>
      <c r="C107" s="35"/>
      <c r="D107" s="31"/>
      <c r="E107" s="1154">
        <f>'Salary Details'!$R$16</f>
        <v>2000</v>
      </c>
      <c r="F107" s="1154"/>
      <c r="G107" s="1154"/>
      <c r="H107" s="1154"/>
      <c r="I107" s="1154"/>
      <c r="J107" s="59"/>
      <c r="K107" s="127"/>
      <c r="L107" s="127"/>
      <c r="M107" s="127"/>
      <c r="N107" s="127"/>
      <c r="O107" s="127"/>
      <c r="P107" s="127"/>
      <c r="Q107" s="127"/>
      <c r="R107" s="127"/>
      <c r="S107" s="127"/>
      <c r="T107" s="127"/>
      <c r="U107" s="127"/>
      <c r="V107" s="127"/>
      <c r="W107" s="127"/>
      <c r="X107" s="127"/>
      <c r="Y107" s="127"/>
      <c r="Z107" s="127"/>
      <c r="AA107" s="127"/>
      <c r="AB107" s="127"/>
      <c r="AC107" s="127"/>
      <c r="AD107" s="127"/>
      <c r="AE107" s="127"/>
      <c r="AF107" s="127"/>
      <c r="AG107" s="127"/>
      <c r="AH107" s="127"/>
      <c r="AI107" s="127"/>
      <c r="AJ107" s="127"/>
      <c r="AK107" s="135"/>
      <c r="AL107" s="136"/>
    </row>
    <row r="108" spans="1:81" ht="12" customHeight="1">
      <c r="B108" s="119">
        <v>10</v>
      </c>
      <c r="C108" s="31"/>
      <c r="D108" s="31"/>
      <c r="E108" s="1154">
        <f>'Salary Details'!$R$17</f>
        <v>2000</v>
      </c>
      <c r="F108" s="1154"/>
      <c r="G108" s="1154"/>
      <c r="H108" s="1154"/>
      <c r="I108" s="1154"/>
      <c r="J108" s="59"/>
      <c r="K108" s="127"/>
      <c r="L108" s="127"/>
      <c r="M108" s="127"/>
      <c r="N108" s="127"/>
      <c r="O108" s="127"/>
      <c r="P108" s="127"/>
      <c r="Q108" s="127"/>
      <c r="R108" s="127"/>
      <c r="S108" s="127"/>
      <c r="T108" s="127"/>
      <c r="U108" s="127"/>
      <c r="V108" s="127"/>
      <c r="W108" s="127"/>
      <c r="X108" s="127"/>
      <c r="Y108" s="127"/>
      <c r="Z108" s="127"/>
      <c r="AA108" s="127"/>
      <c r="AB108" s="127"/>
      <c r="AC108" s="127"/>
      <c r="AD108" s="127"/>
      <c r="AE108" s="127"/>
      <c r="AF108" s="127"/>
      <c r="AG108" s="127"/>
      <c r="AH108" s="127"/>
      <c r="AI108" s="127"/>
      <c r="AJ108" s="127"/>
      <c r="AK108" s="135"/>
      <c r="AL108" s="136"/>
    </row>
    <row r="109" spans="1:81" ht="12" customHeight="1">
      <c r="B109" s="119">
        <v>11</v>
      </c>
      <c r="C109" s="35"/>
      <c r="D109" s="31"/>
      <c r="E109" s="1154">
        <f>'Salary Details'!$R$18</f>
        <v>2000</v>
      </c>
      <c r="F109" s="1154"/>
      <c r="G109" s="1154"/>
      <c r="H109" s="1154"/>
      <c r="I109" s="1154"/>
      <c r="J109" s="59"/>
      <c r="K109" s="127"/>
      <c r="L109" s="127"/>
      <c r="M109" s="127"/>
      <c r="N109" s="127"/>
      <c r="O109" s="127"/>
      <c r="P109" s="127"/>
      <c r="Q109" s="127"/>
      <c r="R109" s="127"/>
      <c r="S109" s="127"/>
      <c r="T109" s="127"/>
      <c r="U109" s="127"/>
      <c r="V109" s="127"/>
      <c r="W109" s="127"/>
      <c r="X109" s="127"/>
      <c r="Y109" s="127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35"/>
      <c r="AL109" s="115"/>
    </row>
    <row r="110" spans="1:81" ht="12" customHeight="1">
      <c r="B110" s="119">
        <v>12</v>
      </c>
      <c r="C110" s="35"/>
      <c r="D110" s="31"/>
      <c r="E110" s="1154">
        <f>SUM('Income Tax Ass New.'!$I$66)</f>
        <v>-22000</v>
      </c>
      <c r="F110" s="1154"/>
      <c r="G110" s="1154"/>
      <c r="H110" s="1154"/>
      <c r="I110" s="1154"/>
      <c r="J110" s="59"/>
      <c r="K110" s="127"/>
      <c r="L110" s="127"/>
      <c r="M110" s="127"/>
      <c r="N110" s="127"/>
      <c r="O110" s="127"/>
      <c r="P110" s="127"/>
      <c r="Q110" s="127"/>
      <c r="R110" s="127"/>
      <c r="S110" s="127"/>
      <c r="T110" s="127"/>
      <c r="U110" s="127"/>
      <c r="V110" s="127"/>
      <c r="W110" s="127"/>
      <c r="X110" s="127"/>
      <c r="Y110" s="127"/>
      <c r="Z110" s="127"/>
      <c r="AA110" s="127"/>
      <c r="AB110" s="127"/>
      <c r="AC110" s="127"/>
      <c r="AD110" s="127"/>
      <c r="AE110" s="127"/>
      <c r="AF110" s="127"/>
      <c r="AG110" s="127"/>
      <c r="AH110" s="127"/>
      <c r="AI110" s="127"/>
      <c r="AJ110" s="127"/>
      <c r="AK110" s="135"/>
      <c r="AL110" s="115"/>
    </row>
    <row r="111" spans="1:81" ht="12" customHeight="1">
      <c r="B111" s="120">
        <v>13</v>
      </c>
      <c r="C111" s="31"/>
      <c r="D111" s="31"/>
      <c r="E111" s="1159"/>
      <c r="F111" s="1159"/>
      <c r="G111" s="1159"/>
      <c r="H111" s="1159"/>
      <c r="I111" s="1159"/>
      <c r="J111" s="58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7"/>
      <c r="AA111" s="127"/>
      <c r="AB111" s="127"/>
      <c r="AC111" s="127"/>
      <c r="AD111" s="127"/>
      <c r="AE111" s="127"/>
      <c r="AF111" s="127"/>
      <c r="AG111" s="127"/>
      <c r="AH111" s="127"/>
      <c r="AI111" s="127"/>
      <c r="AJ111" s="127"/>
      <c r="AK111" s="137"/>
    </row>
    <row r="112" spans="1:81" ht="12" customHeight="1">
      <c r="B112" s="120"/>
      <c r="C112" s="31"/>
      <c r="D112" s="31"/>
      <c r="E112" s="1159"/>
      <c r="F112" s="1159"/>
      <c r="G112" s="1159"/>
      <c r="H112" s="1159"/>
      <c r="I112" s="1159"/>
      <c r="J112" s="58"/>
      <c r="K112" s="127"/>
      <c r="L112" s="127"/>
      <c r="M112" s="127"/>
      <c r="N112" s="127"/>
      <c r="O112" s="127"/>
      <c r="P112" s="127"/>
      <c r="Q112" s="127"/>
      <c r="R112" s="127"/>
      <c r="S112" s="127"/>
      <c r="T112" s="127"/>
      <c r="U112" s="127"/>
      <c r="V112" s="127"/>
      <c r="W112" s="127"/>
      <c r="X112" s="127"/>
      <c r="Y112" s="127"/>
      <c r="Z112" s="127"/>
      <c r="AA112" s="127"/>
      <c r="AB112" s="127"/>
      <c r="AC112" s="127"/>
      <c r="AD112" s="127"/>
      <c r="AE112" s="127"/>
      <c r="AF112" s="127"/>
      <c r="AG112" s="127"/>
      <c r="AH112" s="127"/>
      <c r="AI112" s="127"/>
      <c r="AJ112" s="127"/>
      <c r="AK112" s="137"/>
    </row>
    <row r="113" spans="1:37" ht="12" customHeight="1">
      <c r="B113" s="36" t="s">
        <v>166</v>
      </c>
      <c r="C113" s="31"/>
      <c r="D113" s="31"/>
      <c r="E113" s="1160">
        <f>SUM(E99:E112)</f>
        <v>0</v>
      </c>
      <c r="F113" s="1160"/>
      <c r="G113" s="1160"/>
      <c r="H113" s="1160"/>
      <c r="I113" s="1160"/>
      <c r="J113" s="34"/>
      <c r="K113" s="128"/>
      <c r="L113" s="128"/>
      <c r="M113" s="128"/>
      <c r="N113" s="128"/>
      <c r="O113" s="128"/>
      <c r="P113" s="128"/>
      <c r="Q113" s="128"/>
      <c r="R113" s="128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28"/>
      <c r="AG113" s="128"/>
      <c r="AH113" s="128"/>
      <c r="AI113" s="128"/>
      <c r="AJ113" s="128"/>
      <c r="AK113" s="138"/>
    </row>
    <row r="114" spans="1:37" ht="12" customHeight="1">
      <c r="B114" t="s">
        <v>537</v>
      </c>
    </row>
    <row r="115" spans="1:37" ht="12" customHeight="1">
      <c r="P115" s="124" t="s">
        <v>538</v>
      </c>
      <c r="Q115" s="124"/>
      <c r="R115" s="124"/>
      <c r="S115" s="124"/>
      <c r="T115" s="124"/>
      <c r="U115" s="124"/>
      <c r="V115" s="130"/>
    </row>
    <row r="116" spans="1:37" ht="12" customHeight="1">
      <c r="B116" s="1161" t="s">
        <v>539</v>
      </c>
      <c r="C116" s="1161"/>
      <c r="D116" s="1161"/>
      <c r="E116" s="1161"/>
      <c r="F116" s="1161"/>
      <c r="G116" s="1161"/>
      <c r="H116" s="1161"/>
      <c r="I116" s="1161"/>
      <c r="J116" s="1161"/>
      <c r="K116" s="1161"/>
      <c r="L116" s="1161"/>
      <c r="M116" s="1161"/>
      <c r="N116" s="1161"/>
      <c r="O116" s="1161"/>
      <c r="P116" s="1161"/>
      <c r="Q116" s="1161"/>
      <c r="R116" s="1161"/>
      <c r="S116" s="1161"/>
      <c r="T116" s="1161"/>
      <c r="U116" s="1161"/>
      <c r="V116" s="1161"/>
      <c r="W116" s="1161"/>
      <c r="X116" s="1161"/>
      <c r="Y116" s="1161"/>
      <c r="Z116" s="1161"/>
      <c r="AA116" s="1161"/>
      <c r="AB116" s="1161"/>
      <c r="AC116" s="1161"/>
      <c r="AD116" s="1161"/>
      <c r="AE116" s="1161"/>
      <c r="AF116" s="1161"/>
      <c r="AG116" s="1161"/>
      <c r="AH116" s="1161"/>
      <c r="AI116" s="1161"/>
      <c r="AJ116" s="1161"/>
      <c r="AK116" s="1161"/>
    </row>
    <row r="117" spans="1:37" ht="12" customHeight="1">
      <c r="B117" s="118" t="s">
        <v>525</v>
      </c>
      <c r="C117" s="118"/>
      <c r="D117" s="118"/>
      <c r="E117" s="118"/>
      <c r="F117" s="118"/>
      <c r="G117" s="118"/>
      <c r="H117" s="118"/>
      <c r="I117" s="118"/>
      <c r="J117" s="118"/>
      <c r="K117" s="118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</row>
    <row r="118" spans="1:37" ht="12" customHeight="1">
      <c r="B118" s="39"/>
      <c r="C118" s="41"/>
      <c r="D118" s="41"/>
      <c r="E118" s="41"/>
      <c r="F118" s="41"/>
      <c r="G118" s="41"/>
      <c r="H118" s="41"/>
      <c r="J118" s="125"/>
      <c r="K118" s="31"/>
      <c r="L118" s="31"/>
      <c r="M118" s="31"/>
      <c r="N118" s="31" t="s">
        <v>526</v>
      </c>
      <c r="O118" s="31"/>
      <c r="P118" s="31"/>
      <c r="Q118" s="31"/>
      <c r="R118" s="31"/>
      <c r="S118" s="31"/>
      <c r="T118" s="31"/>
      <c r="U118" s="31"/>
      <c r="V118" s="41"/>
      <c r="W118" s="41"/>
      <c r="X118" s="41"/>
      <c r="Y118" s="41"/>
      <c r="Z118" s="41"/>
      <c r="AA118" s="41"/>
      <c r="AB118" s="41"/>
      <c r="AC118" s="31"/>
      <c r="AD118" s="31"/>
      <c r="AE118" s="31"/>
      <c r="AF118" s="31"/>
      <c r="AG118" s="31"/>
      <c r="AH118" s="31"/>
      <c r="AI118" s="31"/>
      <c r="AJ118" s="31"/>
      <c r="AK118" s="36"/>
    </row>
    <row r="119" spans="1:37" ht="12" customHeight="1">
      <c r="A119" s="93"/>
      <c r="B119" s="72" t="s">
        <v>527</v>
      </c>
      <c r="C119" s="32" t="s">
        <v>528</v>
      </c>
      <c r="I119" s="126"/>
      <c r="J119" s="33"/>
      <c r="K119" s="32"/>
      <c r="L119" s="32" t="s">
        <v>540</v>
      </c>
      <c r="M119" s="32"/>
      <c r="N119" s="32"/>
      <c r="O119" s="32"/>
      <c r="P119" s="32"/>
      <c r="Q119" s="32"/>
      <c r="R119" s="32"/>
      <c r="S119" s="33"/>
      <c r="U119" s="32" t="s">
        <v>541</v>
      </c>
      <c r="V119" s="32"/>
      <c r="W119" s="32"/>
      <c r="X119" s="32"/>
      <c r="Y119" s="32"/>
      <c r="Z119" s="32"/>
      <c r="AA119" s="33"/>
      <c r="AB119" s="132"/>
      <c r="AC119" s="133" t="s">
        <v>542</v>
      </c>
      <c r="AD119" s="32"/>
      <c r="AE119" s="32"/>
      <c r="AF119" s="32"/>
      <c r="AG119" s="32"/>
      <c r="AH119" s="32"/>
      <c r="AI119" s="32"/>
      <c r="AJ119" s="32"/>
      <c r="AK119" s="33"/>
    </row>
    <row r="120" spans="1:37" ht="12" customHeight="1">
      <c r="A120" s="93"/>
      <c r="B120" s="93"/>
      <c r="C120" s="32" t="s">
        <v>532</v>
      </c>
      <c r="D120" s="32"/>
      <c r="E120" s="32"/>
      <c r="F120" s="32"/>
      <c r="G120" s="32"/>
      <c r="H120" s="32"/>
      <c r="I120" s="32"/>
      <c r="J120" s="72"/>
      <c r="L120" s="32"/>
      <c r="M120" s="32"/>
      <c r="N120" s="32"/>
      <c r="O120" s="32"/>
      <c r="S120" s="93"/>
      <c r="U120" s="32"/>
      <c r="V120" s="32" t="s">
        <v>535</v>
      </c>
      <c r="W120" s="32"/>
      <c r="X120" s="32"/>
      <c r="Y120" s="32"/>
      <c r="Z120" s="32"/>
      <c r="AA120" s="72"/>
      <c r="AB120" s="68"/>
      <c r="AD120" s="32"/>
      <c r="AE120" s="32"/>
      <c r="AF120" s="32"/>
      <c r="AG120" s="32"/>
      <c r="AH120" s="32"/>
      <c r="AI120" s="32"/>
      <c r="AJ120" s="32"/>
      <c r="AK120" s="72"/>
    </row>
    <row r="121" spans="1:37">
      <c r="A121" s="93"/>
      <c r="B121" s="121"/>
      <c r="C121" s="56"/>
      <c r="D121" s="1154"/>
      <c r="E121" s="1154"/>
      <c r="F121" s="1154"/>
      <c r="G121" s="1154"/>
      <c r="H121" s="1154"/>
      <c r="I121" s="1154"/>
      <c r="J121" s="59"/>
      <c r="K121" s="121"/>
      <c r="L121" s="121"/>
      <c r="M121" s="121"/>
      <c r="N121" s="121"/>
      <c r="O121" s="121"/>
      <c r="P121" s="121"/>
      <c r="Q121" s="121"/>
      <c r="R121" s="121"/>
      <c r="S121" s="121"/>
      <c r="T121" s="121"/>
      <c r="U121" s="121"/>
      <c r="V121" s="121"/>
      <c r="W121" s="121"/>
      <c r="X121" s="121"/>
      <c r="Y121" s="121"/>
      <c r="Z121" s="121"/>
      <c r="AA121" s="121"/>
      <c r="AB121" s="121"/>
      <c r="AC121" s="121"/>
      <c r="AD121" s="121"/>
      <c r="AE121" s="121"/>
      <c r="AF121" s="121"/>
      <c r="AG121" s="121"/>
      <c r="AH121" s="121"/>
      <c r="AI121" s="121"/>
      <c r="AJ121" s="121"/>
      <c r="AK121" s="128"/>
    </row>
    <row r="122" spans="1:37">
      <c r="B122" s="121"/>
      <c r="C122" s="46"/>
      <c r="D122" s="1154"/>
      <c r="E122" s="1154"/>
      <c r="F122" s="1154"/>
      <c r="G122" s="1154"/>
      <c r="H122" s="1154"/>
      <c r="I122" s="1154"/>
      <c r="J122" s="59"/>
      <c r="K122" s="121"/>
      <c r="L122" s="121"/>
      <c r="M122" s="121"/>
      <c r="N122" s="121"/>
      <c r="O122" s="121"/>
      <c r="P122" s="121"/>
      <c r="Q122" s="121"/>
      <c r="R122" s="121"/>
      <c r="S122" s="121"/>
      <c r="T122" s="121"/>
      <c r="U122" s="121"/>
      <c r="V122" s="121"/>
      <c r="W122" s="121"/>
      <c r="X122" s="121"/>
      <c r="Y122" s="121"/>
      <c r="Z122" s="121"/>
      <c r="AA122" s="121"/>
      <c r="AB122" s="121"/>
      <c r="AC122" s="121"/>
      <c r="AD122" s="121"/>
      <c r="AE122" s="121"/>
      <c r="AF122" s="121"/>
      <c r="AG122" s="121"/>
      <c r="AH122" s="121"/>
      <c r="AI122" s="121"/>
      <c r="AJ122" s="121"/>
      <c r="AK122" s="128"/>
    </row>
    <row r="123" spans="1:37">
      <c r="B123" s="122"/>
      <c r="C123" s="56"/>
      <c r="D123" s="1154"/>
      <c r="E123" s="1154"/>
      <c r="F123" s="1154"/>
      <c r="G123" s="1154"/>
      <c r="H123" s="1154"/>
      <c r="I123" s="1154"/>
      <c r="J123" s="59"/>
      <c r="K123" s="121"/>
      <c r="L123" s="121"/>
      <c r="M123" s="121"/>
      <c r="N123" s="121"/>
      <c r="O123" s="121"/>
      <c r="P123" s="121"/>
      <c r="Q123" s="121"/>
      <c r="R123" s="121"/>
      <c r="S123" s="121"/>
      <c r="T123" s="121"/>
      <c r="U123" s="121"/>
      <c r="V123" s="121"/>
      <c r="W123" s="121"/>
      <c r="X123" s="121"/>
      <c r="Y123" s="121"/>
      <c r="Z123" s="121"/>
      <c r="AA123" s="121"/>
      <c r="AB123" s="121"/>
      <c r="AC123" s="121"/>
      <c r="AD123" s="121"/>
      <c r="AE123" s="121"/>
      <c r="AF123" s="121"/>
      <c r="AG123" s="121"/>
      <c r="AH123" s="121"/>
      <c r="AI123" s="121"/>
      <c r="AJ123" s="121"/>
      <c r="AK123" s="128"/>
    </row>
    <row r="124" spans="1:37">
      <c r="B124" s="121"/>
      <c r="C124" s="56"/>
      <c r="D124" s="1154"/>
      <c r="E124" s="1154"/>
      <c r="F124" s="1154"/>
      <c r="G124" s="1154"/>
      <c r="H124" s="1154"/>
      <c r="I124" s="1154"/>
      <c r="J124" s="59"/>
      <c r="K124" s="121"/>
      <c r="L124" s="121"/>
      <c r="M124" s="121"/>
      <c r="N124" s="121"/>
      <c r="O124" s="121"/>
      <c r="P124" s="121"/>
      <c r="Q124" s="121"/>
      <c r="R124" s="121"/>
      <c r="S124" s="121"/>
      <c r="T124" s="121"/>
      <c r="U124" s="121"/>
      <c r="V124" s="121"/>
      <c r="W124" s="121"/>
      <c r="X124" s="121"/>
      <c r="Y124" s="121"/>
      <c r="Z124" s="121"/>
      <c r="AA124" s="121"/>
      <c r="AB124" s="121"/>
      <c r="AC124" s="121"/>
      <c r="AD124" s="121"/>
      <c r="AE124" s="121"/>
      <c r="AF124" s="121"/>
      <c r="AG124" s="121"/>
      <c r="AH124" s="121"/>
      <c r="AI124" s="121"/>
      <c r="AJ124" s="121"/>
      <c r="AK124" s="128"/>
    </row>
    <row r="125" spans="1:37">
      <c r="B125" s="121"/>
      <c r="C125" s="56"/>
      <c r="D125" s="1154"/>
      <c r="E125" s="1154"/>
      <c r="F125" s="1154"/>
      <c r="G125" s="1154"/>
      <c r="H125" s="1154"/>
      <c r="I125" s="1154"/>
      <c r="J125" s="59"/>
      <c r="K125" s="122"/>
      <c r="L125" s="121"/>
      <c r="M125" s="121"/>
      <c r="N125" s="121"/>
      <c r="O125" s="121"/>
      <c r="P125" s="121"/>
      <c r="Q125" s="121"/>
      <c r="R125" s="121"/>
      <c r="S125" s="121"/>
      <c r="T125" s="121"/>
      <c r="U125" s="121"/>
      <c r="V125" s="121"/>
      <c r="W125" s="121"/>
      <c r="X125" s="121"/>
      <c r="Y125" s="121"/>
      <c r="Z125" s="121"/>
      <c r="AA125" s="121"/>
      <c r="AB125" s="121"/>
      <c r="AC125" s="121"/>
      <c r="AD125" s="121"/>
      <c r="AE125" s="121"/>
      <c r="AF125" s="121"/>
      <c r="AG125" s="121"/>
      <c r="AH125" s="121"/>
      <c r="AI125" s="121"/>
      <c r="AJ125" s="121"/>
      <c r="AK125" s="128"/>
    </row>
    <row r="126" spans="1:37">
      <c r="B126" s="121"/>
      <c r="C126" s="56"/>
      <c r="D126" s="1154"/>
      <c r="E126" s="1154"/>
      <c r="F126" s="1154"/>
      <c r="G126" s="1154"/>
      <c r="H126" s="1154"/>
      <c r="I126" s="1154"/>
      <c r="J126" s="59"/>
      <c r="K126" s="121"/>
      <c r="L126" s="121"/>
      <c r="M126" s="121"/>
      <c r="N126" s="121"/>
      <c r="O126" s="121"/>
      <c r="P126" s="121"/>
      <c r="Q126" s="121"/>
      <c r="R126" s="121"/>
      <c r="S126" s="121"/>
      <c r="T126" s="121"/>
      <c r="U126" s="121"/>
      <c r="V126" s="121"/>
      <c r="W126" s="121"/>
      <c r="X126" s="121"/>
      <c r="Y126" s="121"/>
      <c r="Z126" s="121"/>
      <c r="AA126" s="121"/>
      <c r="AB126" s="121"/>
      <c r="AC126" s="121"/>
      <c r="AD126" s="121"/>
      <c r="AE126" s="121"/>
      <c r="AF126" s="121"/>
      <c r="AG126" s="121"/>
      <c r="AH126" s="121"/>
      <c r="AI126" s="121"/>
      <c r="AJ126" s="121"/>
      <c r="AK126" s="128"/>
    </row>
    <row r="127" spans="1:37">
      <c r="B127" s="121"/>
      <c r="C127" s="56"/>
      <c r="D127" s="1154"/>
      <c r="E127" s="1154"/>
      <c r="F127" s="1154"/>
      <c r="G127" s="1154"/>
      <c r="H127" s="1154"/>
      <c r="I127" s="1154"/>
      <c r="J127" s="59"/>
      <c r="K127" s="121"/>
      <c r="L127" s="121"/>
      <c r="M127" s="121"/>
      <c r="N127" s="121"/>
      <c r="O127" s="121"/>
      <c r="P127" s="121"/>
      <c r="Q127" s="121"/>
      <c r="R127" s="121"/>
      <c r="S127" s="121"/>
      <c r="T127" s="121"/>
      <c r="U127" s="121"/>
      <c r="V127" s="121"/>
      <c r="W127" s="121"/>
      <c r="X127" s="121"/>
      <c r="Y127" s="121"/>
      <c r="Z127" s="121"/>
      <c r="AA127" s="121"/>
      <c r="AB127" s="121"/>
      <c r="AC127" s="121"/>
      <c r="AD127" s="121"/>
      <c r="AE127" s="121"/>
      <c r="AF127" s="121"/>
      <c r="AG127" s="121"/>
      <c r="AH127" s="121"/>
      <c r="AI127" s="121"/>
      <c r="AJ127" s="121"/>
      <c r="AK127" s="128"/>
    </row>
    <row r="128" spans="1:37">
      <c r="B128" s="121"/>
      <c r="C128" s="56"/>
      <c r="D128" s="1154"/>
      <c r="E128" s="1154"/>
      <c r="F128" s="1154"/>
      <c r="G128" s="1154"/>
      <c r="H128" s="1154"/>
      <c r="I128" s="1154"/>
      <c r="J128" s="59"/>
      <c r="K128" s="121"/>
      <c r="L128" s="121"/>
      <c r="M128" s="121"/>
      <c r="N128" s="121"/>
      <c r="O128" s="121"/>
      <c r="P128" s="121"/>
      <c r="Q128" s="121"/>
      <c r="R128" s="121"/>
      <c r="S128" s="121"/>
      <c r="T128" s="121"/>
      <c r="U128" s="121"/>
      <c r="V128" s="121"/>
      <c r="W128" s="121"/>
      <c r="X128" s="121"/>
      <c r="Y128" s="121"/>
      <c r="Z128" s="121"/>
      <c r="AA128" s="121"/>
      <c r="AB128" s="121"/>
      <c r="AC128" s="121"/>
      <c r="AD128" s="121"/>
      <c r="AE128" s="121"/>
      <c r="AF128" s="121"/>
      <c r="AG128" s="121"/>
      <c r="AH128" s="121"/>
      <c r="AI128" s="121"/>
      <c r="AJ128" s="121"/>
      <c r="AK128" s="121"/>
    </row>
    <row r="129" spans="2:37" ht="12" customHeight="1">
      <c r="B129" s="121"/>
      <c r="C129" s="56"/>
      <c r="D129" s="1154"/>
      <c r="E129" s="1154"/>
      <c r="F129" s="1154"/>
      <c r="G129" s="1154"/>
      <c r="H129" s="1154"/>
      <c r="I129" s="1154"/>
      <c r="J129" s="59"/>
      <c r="K129" s="121"/>
      <c r="L129" s="121"/>
      <c r="M129" s="121"/>
      <c r="N129" s="121"/>
      <c r="O129" s="121"/>
      <c r="P129" s="121"/>
      <c r="Q129" s="121"/>
      <c r="R129" s="121"/>
      <c r="S129" s="121"/>
      <c r="T129" s="121"/>
      <c r="U129" s="121"/>
      <c r="V129" s="121"/>
      <c r="W129" s="121"/>
      <c r="X129" s="121"/>
      <c r="Y129" s="121"/>
      <c r="Z129" s="121"/>
      <c r="AA129" s="121"/>
      <c r="AB129" s="121"/>
      <c r="AC129" s="121"/>
      <c r="AD129" s="121"/>
      <c r="AE129" s="121"/>
      <c r="AF129" s="121"/>
      <c r="AG129" s="121"/>
      <c r="AH129" s="121"/>
      <c r="AI129" s="121"/>
      <c r="AJ129" s="121"/>
      <c r="AK129" s="121"/>
    </row>
    <row r="130" spans="2:37" ht="12" customHeight="1">
      <c r="B130" s="121"/>
      <c r="C130" s="46"/>
      <c r="D130" s="1154"/>
      <c r="E130" s="1154"/>
      <c r="F130" s="1154"/>
      <c r="G130" s="1154"/>
      <c r="H130" s="1154"/>
      <c r="I130" s="1154"/>
      <c r="J130" s="59"/>
      <c r="K130" s="121"/>
      <c r="L130" s="121"/>
      <c r="M130" s="121"/>
      <c r="N130" s="121"/>
      <c r="O130" s="121"/>
      <c r="P130" s="121"/>
      <c r="Q130" s="121"/>
      <c r="R130" s="121"/>
      <c r="S130" s="121"/>
      <c r="T130" s="121"/>
      <c r="U130" s="121"/>
      <c r="V130" s="121"/>
      <c r="W130" s="121"/>
      <c r="X130" s="121"/>
      <c r="Y130" s="121"/>
      <c r="Z130" s="121"/>
      <c r="AA130" s="121"/>
      <c r="AB130" s="121"/>
      <c r="AC130" s="121"/>
      <c r="AD130" s="121"/>
      <c r="AE130" s="121"/>
      <c r="AF130" s="121"/>
      <c r="AG130" s="121"/>
      <c r="AH130" s="121"/>
      <c r="AI130" s="121"/>
      <c r="AJ130" s="121"/>
      <c r="AK130" s="121"/>
    </row>
    <row r="131" spans="2:37" ht="12" customHeight="1">
      <c r="B131" s="122"/>
      <c r="C131" s="56"/>
      <c r="D131" s="1154"/>
      <c r="E131" s="1154"/>
      <c r="F131" s="1154"/>
      <c r="G131" s="1154"/>
      <c r="H131" s="1154"/>
      <c r="I131" s="1154"/>
      <c r="J131" s="59"/>
      <c r="K131" s="121"/>
      <c r="L131" s="121"/>
      <c r="M131" s="121"/>
      <c r="N131" s="121"/>
      <c r="O131" s="121"/>
      <c r="P131" s="121"/>
      <c r="Q131" s="121"/>
      <c r="R131" s="121"/>
      <c r="S131" s="121"/>
      <c r="T131" s="121"/>
      <c r="U131" s="121"/>
      <c r="V131" s="121"/>
      <c r="W131" s="121"/>
      <c r="X131" s="121"/>
      <c r="Y131" s="121"/>
      <c r="Z131" s="121"/>
      <c r="AA131" s="121"/>
      <c r="AB131" s="121"/>
      <c r="AC131" s="121"/>
      <c r="AD131" s="121"/>
      <c r="AE131" s="121"/>
      <c r="AF131" s="121"/>
      <c r="AG131" s="121"/>
      <c r="AH131" s="121"/>
      <c r="AI131" s="121"/>
      <c r="AJ131" s="121"/>
      <c r="AK131" s="128"/>
    </row>
    <row r="132" spans="2:37" ht="12" customHeight="1">
      <c r="B132" s="121"/>
      <c r="C132" s="56"/>
      <c r="D132" s="1154"/>
      <c r="E132" s="1154"/>
      <c r="F132" s="1154"/>
      <c r="G132" s="1154"/>
      <c r="H132" s="1154"/>
      <c r="I132" s="1154"/>
      <c r="J132" s="59"/>
      <c r="K132" s="121"/>
      <c r="L132" s="121"/>
      <c r="M132" s="121"/>
      <c r="N132" s="121"/>
      <c r="O132" s="121"/>
      <c r="P132" s="121"/>
      <c r="Q132" s="121"/>
      <c r="R132" s="121"/>
      <c r="S132" s="121"/>
      <c r="T132" s="121"/>
      <c r="U132" s="121"/>
      <c r="V132" s="121"/>
      <c r="W132" s="121"/>
      <c r="X132" s="121"/>
      <c r="Y132" s="121"/>
      <c r="Z132" s="121"/>
      <c r="AA132" s="121"/>
      <c r="AB132" s="121"/>
      <c r="AC132" s="121"/>
      <c r="AD132" s="121"/>
      <c r="AE132" s="121"/>
      <c r="AF132" s="121"/>
      <c r="AG132" s="121"/>
      <c r="AH132" s="121"/>
      <c r="AI132" s="121"/>
      <c r="AJ132" s="121"/>
      <c r="AK132" s="128"/>
    </row>
    <row r="133" spans="2:37" ht="12" customHeight="1">
      <c r="B133" s="59" t="s">
        <v>166</v>
      </c>
      <c r="C133" s="23"/>
      <c r="D133" s="1154">
        <f>SUM(D121:D132)</f>
        <v>0</v>
      </c>
      <c r="E133" s="1154"/>
      <c r="F133" s="1154"/>
      <c r="G133" s="1154"/>
      <c r="H133" s="1154"/>
      <c r="I133" s="1154"/>
      <c r="J133" s="58"/>
      <c r="K133" s="121"/>
      <c r="L133" s="121"/>
      <c r="M133" s="121"/>
      <c r="N133" s="121"/>
      <c r="O133" s="121"/>
      <c r="P133" s="121"/>
      <c r="Q133" s="121"/>
      <c r="R133" s="121"/>
      <c r="S133" s="121"/>
      <c r="T133" s="121"/>
      <c r="U133" s="121"/>
      <c r="V133" s="121"/>
      <c r="W133" s="121"/>
      <c r="X133" s="121"/>
      <c r="Y133" s="121"/>
      <c r="Z133" s="121"/>
      <c r="AA133" s="121"/>
      <c r="AB133" s="121"/>
      <c r="AC133" s="121"/>
      <c r="AD133" s="121"/>
      <c r="AE133" s="121"/>
      <c r="AF133" s="121"/>
      <c r="AG133" s="121"/>
      <c r="AH133" s="121"/>
      <c r="AI133" s="121"/>
      <c r="AJ133" s="121"/>
      <c r="AK133" s="128"/>
    </row>
    <row r="134" spans="2:37" ht="12" customHeight="1">
      <c r="B134" t="s">
        <v>537</v>
      </c>
    </row>
    <row r="135" spans="2:37" ht="11.25" customHeight="1"/>
    <row r="136" spans="2:37" ht="12" customHeight="1"/>
    <row r="137" spans="2:37" ht="10.5" customHeight="1"/>
    <row r="138" spans="2:37" ht="12" customHeight="1"/>
    <row r="139" spans="2:37" ht="12" customHeight="1"/>
    <row r="140" spans="2:37" ht="12" customHeight="1"/>
    <row r="148" spans="25:30" hidden="1"/>
    <row r="149" spans="25:30" hidden="1"/>
    <row r="150" spans="25:30" hidden="1"/>
    <row r="151" spans="25:30" hidden="1"/>
    <row r="152" spans="25:30" hidden="1"/>
    <row r="153" spans="25:30" hidden="1"/>
    <row r="154" spans="25:30" hidden="1"/>
    <row r="155" spans="25:30" hidden="1"/>
    <row r="156" spans="25:30" hidden="1">
      <c r="Y156" s="1233" t="s">
        <v>543</v>
      </c>
      <c r="Z156" s="1233"/>
      <c r="AA156" s="1233"/>
      <c r="AB156" s="1233"/>
      <c r="AC156" s="1233"/>
      <c r="AD156" s="1233"/>
    </row>
    <row r="157" spans="25:30" hidden="1"/>
    <row r="158" spans="25:30" hidden="1"/>
    <row r="159" spans="25:30" hidden="1"/>
    <row r="160" spans="25:30" hidden="1"/>
    <row r="161" hidden="1"/>
    <row r="162" hidden="1"/>
    <row r="163" hidden="1"/>
    <row r="164" ht="12.75" hidden="1" customHeight="1"/>
  </sheetData>
  <sheetProtection algorithmName="SHA-512" hashValue="pcqbOOnMDl8pLJlCpP1JvexSf5ABKX+iq5qDpxsr+l0sCEe3r1Fp65Tv9FSyiuvfoyT2X5oLgj9BdDIU5IHgRg==" saltValue="mn/rg+m7yes2LD+YyOPrhQ==" spinCount="100000" sheet="1" objects="1" scenarios="1"/>
  <protectedRanges>
    <protectedRange sqref="B121:AK133" name="Range4"/>
    <protectedRange sqref="B78:AC78" name="Range2"/>
    <protectedRange sqref="AQ52:AT52 AQ53 C5:AJ38 H74:AJ74 H73:AF73 C40:AJ72 C39 K39:AJ39" name="Range1"/>
    <protectedRange sqref="B99:AK112" name="Range3"/>
    <protectedRange sqref="C73:G74" name="Range1_1"/>
    <protectedRange sqref="AG73:AJ73" name="Range1_4"/>
    <protectedRange sqref="D39:J39" name="Range1_1_1"/>
  </protectedRanges>
  <mergeCells count="134">
    <mergeCell ref="AE1:AJ1"/>
    <mergeCell ref="D6:M6"/>
    <mergeCell ref="Y6:AI6"/>
    <mergeCell ref="D7:N7"/>
    <mergeCell ref="Y7:AI7"/>
    <mergeCell ref="F11:Q11"/>
    <mergeCell ref="F12:Q12"/>
    <mergeCell ref="E13:H13"/>
    <mergeCell ref="F18:P18"/>
    <mergeCell ref="S18:Y18"/>
    <mergeCell ref="AA18:AG18"/>
    <mergeCell ref="AF12:AJ13"/>
    <mergeCell ref="F19:P19"/>
    <mergeCell ref="S19:Y19"/>
    <mergeCell ref="AA19:AG19"/>
    <mergeCell ref="F20:P20"/>
    <mergeCell ref="S20:Y20"/>
    <mergeCell ref="AA20:AG20"/>
    <mergeCell ref="F21:P21"/>
    <mergeCell ref="S21:Y21"/>
    <mergeCell ref="AA21:AG21"/>
    <mergeCell ref="S22:Y22"/>
    <mergeCell ref="AA22:AG22"/>
    <mergeCell ref="W25:Z25"/>
    <mergeCell ref="W27:Z27"/>
    <mergeCell ref="W29:Z29"/>
    <mergeCell ref="AB30:AE30"/>
    <mergeCell ref="W31:Z31"/>
    <mergeCell ref="P33:T33"/>
    <mergeCell ref="W33:Z33"/>
    <mergeCell ref="P34:T34"/>
    <mergeCell ref="P35:T35"/>
    <mergeCell ref="P36:T36"/>
    <mergeCell ref="AB37:AE37"/>
    <mergeCell ref="W39:Z39"/>
    <mergeCell ref="W40:Z40"/>
    <mergeCell ref="W41:Z41"/>
    <mergeCell ref="AB42:AE42"/>
    <mergeCell ref="AG43:AJ43"/>
    <mergeCell ref="AB47:AE47"/>
    <mergeCell ref="AG48:AJ48"/>
    <mergeCell ref="AA49:AE49"/>
    <mergeCell ref="AF49:AJ49"/>
    <mergeCell ref="AA50:AE50"/>
    <mergeCell ref="AF50:AJ50"/>
    <mergeCell ref="W52:Z52"/>
    <mergeCell ref="AB52:AE52"/>
    <mergeCell ref="W53:Z53"/>
    <mergeCell ref="AB53:AE53"/>
    <mergeCell ref="AG53:AJ53"/>
    <mergeCell ref="W54:Z54"/>
    <mergeCell ref="AB54:AE54"/>
    <mergeCell ref="AG54:AJ54"/>
    <mergeCell ref="W55:Z55"/>
    <mergeCell ref="AB55:AE55"/>
    <mergeCell ref="AG55:AJ55"/>
    <mergeCell ref="W59:Z59"/>
    <mergeCell ref="AB59:AE59"/>
    <mergeCell ref="AG59:AJ59"/>
    <mergeCell ref="W60:Z60"/>
    <mergeCell ref="AB60:AE60"/>
    <mergeCell ref="AG60:AJ60"/>
    <mergeCell ref="E61:N61"/>
    <mergeCell ref="W61:Z61"/>
    <mergeCell ref="AB61:AE61"/>
    <mergeCell ref="AG61:AJ61"/>
    <mergeCell ref="E62:N62"/>
    <mergeCell ref="W62:Z62"/>
    <mergeCell ref="AB62:AE62"/>
    <mergeCell ref="AG62:AJ62"/>
    <mergeCell ref="E63:N63"/>
    <mergeCell ref="W63:Z63"/>
    <mergeCell ref="AB63:AE63"/>
    <mergeCell ref="AG63:AJ63"/>
    <mergeCell ref="AG64:AJ64"/>
    <mergeCell ref="AG65:AJ65"/>
    <mergeCell ref="AG66:AJ66"/>
    <mergeCell ref="AG67:AJ67"/>
    <mergeCell ref="AG68:AJ68"/>
    <mergeCell ref="AG69:AJ69"/>
    <mergeCell ref="AG70:AJ70"/>
    <mergeCell ref="AG71:AJ71"/>
    <mergeCell ref="AG72:AJ72"/>
    <mergeCell ref="AG73:AJ73"/>
    <mergeCell ref="AG74:AJ74"/>
    <mergeCell ref="H76:P76"/>
    <mergeCell ref="X76:AI76"/>
    <mergeCell ref="K77:T77"/>
    <mergeCell ref="D78:H78"/>
    <mergeCell ref="M78:AC78"/>
    <mergeCell ref="F83:K83"/>
    <mergeCell ref="Y83:AE83"/>
    <mergeCell ref="B93:AK93"/>
    <mergeCell ref="E99:I99"/>
    <mergeCell ref="E100:I100"/>
    <mergeCell ref="E101:I101"/>
    <mergeCell ref="E102:I102"/>
    <mergeCell ref="D123:I123"/>
    <mergeCell ref="D124:I124"/>
    <mergeCell ref="D125:I125"/>
    <mergeCell ref="D126:I126"/>
    <mergeCell ref="E103:I103"/>
    <mergeCell ref="E104:I104"/>
    <mergeCell ref="E105:I105"/>
    <mergeCell ref="E106:I106"/>
    <mergeCell ref="E107:I107"/>
    <mergeCell ref="E108:I108"/>
    <mergeCell ref="E109:I109"/>
    <mergeCell ref="E110:I110"/>
    <mergeCell ref="E111:I111"/>
    <mergeCell ref="CG1:CI2"/>
    <mergeCell ref="D127:I127"/>
    <mergeCell ref="D128:I128"/>
    <mergeCell ref="D129:I129"/>
    <mergeCell ref="D130:I130"/>
    <mergeCell ref="D131:I131"/>
    <mergeCell ref="D132:I132"/>
    <mergeCell ref="D133:I133"/>
    <mergeCell ref="Y156:AD156"/>
    <mergeCell ref="R11:R12"/>
    <mergeCell ref="S11:S12"/>
    <mergeCell ref="T11:T12"/>
    <mergeCell ref="U11:U12"/>
    <mergeCell ref="V11:V12"/>
    <mergeCell ref="W11:W12"/>
    <mergeCell ref="X11:X12"/>
    <mergeCell ref="Y11:Y12"/>
    <mergeCell ref="Z11:Z12"/>
    <mergeCell ref="AA12:AE13"/>
    <mergeCell ref="E112:I112"/>
    <mergeCell ref="E113:I113"/>
    <mergeCell ref="B116:AK116"/>
    <mergeCell ref="D121:I121"/>
    <mergeCell ref="D122:I122"/>
  </mergeCells>
  <hyperlinks>
    <hyperlink ref="CG1:CI2" location="'Personal Information'!A1" display="Back to Home Page" xr:uid="{00000000-0004-0000-0800-000000000000}"/>
  </hyperlinks>
  <pageMargins left="0.25" right="0.25" top="0.4" bottom="0" header="0.5" footer="0.5"/>
  <pageSetup paperSize="9" scale="93" orientation="portrait" blackAndWhite="1" horizontalDpi="180" verticalDpi="180" r:id="rId1"/>
  <headerFooter scaleWithDoc="0" alignWithMargins="0"/>
  <rowBreaks count="1" manualBreakCount="1">
    <brk id="75" max="3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4" master="" otherUserPermission="visible">
    <arrUserId title="Range1_1" rangeCreator="" othersAccessPermission="edit"/>
  </rangeList>
  <rangeList sheetStid="4" master="" otherUserPermission="visible">
    <arrUserId title="Range27" rangeCreator="" othersAccessPermission="edit"/>
    <arrUserId title="Range1_1" rangeCreator="" othersAccessPermission="edit"/>
    <arrUserId title="Range25" rangeCreator="" othersAccessPermission="edit"/>
    <arrUserId title="Range23" rangeCreator="" othersAccessPermission="edit"/>
    <arrUserId title="Range16_3" rangeCreator="" othersAccessPermission="edit"/>
    <arrUserId title="Range16_2" rangeCreator="" othersAccessPermission="edit"/>
    <arrUserId title="Range16_1" rangeCreator="" othersAccessPermission="edit"/>
    <arrUserId title="Range18" rangeCreator="" othersAccessPermission="edit"/>
    <arrUserId title="Range16" rangeCreator="" othersAccessPermission="edit"/>
    <arrUserId title="Range14" rangeCreator="" othersAccessPermission="edit"/>
    <arrUserId title="Range12" rangeCreator="" othersAccessPermission="edit"/>
    <arrUserId title="Range10" rangeCreator="" othersAccessPermission="edit"/>
    <arrUserId title="Range8" rangeCreator="" othersAccessPermission="edit"/>
    <arrUserId title="Range6" rangeCreator="" othersAccessPermission="edit"/>
    <arrUserId title="Range1" rangeCreator="" othersAccessPermission="edit"/>
    <arrUserId title="Range3" rangeCreator="" othersAccessPermission="edit"/>
    <arrUserId title="Range5" rangeCreator="" othersAccessPermission="edit"/>
    <arrUserId title="Range7" rangeCreator="" othersAccessPermission="edit"/>
    <arrUserId title="Range9" rangeCreator="" othersAccessPermission="edit"/>
    <arrUserId title="Range11" rangeCreator="" othersAccessPermission="edit"/>
    <arrUserId title="Range13" rangeCreator="" othersAccessPermission="edit"/>
    <arrUserId title="Range15" rangeCreator="" othersAccessPermission="edit"/>
    <arrUserId title="Range17" rangeCreator="" othersAccessPermission="edit"/>
    <arrUserId title="Range22" rangeCreator="" othersAccessPermission="edit"/>
    <arrUserId title="Range24" rangeCreator="" othersAccessPermission="edit"/>
    <arrUserId title="Range26" rangeCreator="" othersAccessPermission="edit"/>
  </rangeList>
  <rangeList sheetStid="15" master="" otherUserPermission="visible"/>
  <rangeList sheetStid="5" master="" otherUserPermission="visible"/>
  <rangeList sheetStid="1" master="" otherUserPermission="visible">
    <arrUserId title="Range5" rangeCreator="" othersAccessPermission="edit"/>
    <arrUserId title="Range3" rangeCreator="" othersAccessPermission="edit"/>
    <arrUserId title="Range1" rangeCreator="" othersAccessPermission="edit"/>
    <arrUserId title="Range2" rangeCreator="" othersAccessPermission="edit"/>
    <arrUserId title="Range4" rangeCreator="" othersAccessPermission="edit"/>
  </rangeList>
  <rangeList sheetStid="6" master="" otherUserPermission="visible">
    <arrUserId title="Range8" rangeCreator="" othersAccessPermission="edit"/>
    <arrUserId title="Range6" rangeCreator="" othersAccessPermission="edit"/>
    <arrUserId title="Range4" rangeCreator="" othersAccessPermission="edit"/>
    <arrUserId title="Range3" rangeCreator="" othersAccessPermission="edit"/>
  </rangeList>
  <rangeList sheetStid="7" master="" otherUserPermission="visible">
    <arrUserId title="Range1" rangeCreator="" othersAccessPermission="edit"/>
    <arrUserId title="Range4_2" rangeCreator="" othersAccessPermission="edit"/>
    <arrUserId title="Range1_1" rangeCreator="" othersAccessPermission="edit"/>
    <arrUserId title="Range3_2" rangeCreator="" othersAccessPermission="edit"/>
    <arrUserId title="Range1_2" rangeCreator="" othersAccessPermission="edit"/>
    <arrUserId title="Range1_3" rangeCreator="" othersAccessPermission="edit"/>
    <arrUserId title="Range2_3" rangeCreator="" othersAccessPermission="edit"/>
    <arrUserId title="Range3_3" rangeCreator="" othersAccessPermission="edit"/>
    <arrUserId title="Range1_4" rangeCreator="" othersAccessPermission="edit"/>
  </rangeList>
  <rangeList sheetStid="2" master="" otherUserPermission="visible">
    <arrUserId title="Range8" rangeCreator="" othersAccessPermission="edit"/>
    <arrUserId title="Range6" rangeCreator="" othersAccessPermission="edit"/>
    <arrUserId title="Range4" rangeCreator="" othersAccessPermission="edit"/>
    <arrUserId title="Range3" rangeCreator="" othersAccessPermission="edit"/>
  </rangeList>
  <rangeList sheetStid="3" master="" otherUserPermission="visible">
    <arrUserId title="Range4" rangeCreator="" othersAccessPermission="edit"/>
    <arrUserId title="Range2" rangeCreator="" othersAccessPermission="edit"/>
    <arrUserId title="Range1" rangeCreator="" othersAccessPermission="edit"/>
    <arrUserId title="Range3" rangeCreator="" othersAccessPermission="edit"/>
    <arrUserId title="Range1_1" rangeCreator="" othersAccessPermission="edit"/>
    <arrUserId title="Range1_4" rangeCreator="" othersAccessPermission="edit"/>
    <arrUserId title="Range1_1_1" rangeCreator="" othersAccessPermission="edit"/>
  </rangeList>
  <rangeList sheetStid="8" master="" otherUserPermission="visible"/>
  <rangeList sheetStid="9" master="" otherUserPermission="visible"/>
  <rangeList sheetStid="10" master="" otherUserPermission="visible"/>
  <rangeList sheetStid="1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16</vt:i4>
      </vt:variant>
    </vt:vector>
  </HeadingPairs>
  <TitlesOfParts>
    <vt:vector size="29" baseType="lpstr">
      <vt:lpstr>Information </vt:lpstr>
      <vt:lpstr>Personal Information</vt:lpstr>
      <vt:lpstr>Details of Deductions</vt:lpstr>
      <vt:lpstr>7th PAY MATRIX TABLE</vt:lpstr>
      <vt:lpstr>Salary Details</vt:lpstr>
      <vt:lpstr>Income Tax Ass Old</vt:lpstr>
      <vt:lpstr>FORM16 old</vt:lpstr>
      <vt:lpstr>Income Tax Ass New.</vt:lpstr>
      <vt:lpstr>FORM16 New</vt:lpstr>
      <vt:lpstr>Sheet1</vt:lpstr>
      <vt:lpstr>Sheet2</vt:lpstr>
      <vt:lpstr>Sheet3</vt:lpstr>
      <vt:lpstr>Sheet5</vt:lpstr>
      <vt:lpstr>'Information '!B2_</vt:lpstr>
      <vt:lpstr>B2_</vt:lpstr>
      <vt:lpstr>'Information '!C_</vt:lpstr>
      <vt:lpstr>C_</vt:lpstr>
      <vt:lpstr>Category</vt:lpstr>
      <vt:lpstr>'Information '!other</vt:lpstr>
      <vt:lpstr>other</vt:lpstr>
      <vt:lpstr>'7th PAY MATRIX TABLE'!Print_Area</vt:lpstr>
      <vt:lpstr>'Details of Deductions'!Print_Area</vt:lpstr>
      <vt:lpstr>'FORM16 New'!Print_Area</vt:lpstr>
      <vt:lpstr>'FORM16 old'!Print_Area</vt:lpstr>
      <vt:lpstr>'Income Tax Ass New.'!Print_Area</vt:lpstr>
      <vt:lpstr>'Income Tax Ass Old'!Print_Area</vt:lpstr>
      <vt:lpstr>'Information '!Print_Area</vt:lpstr>
      <vt:lpstr>'Personal Information'!Print_Area</vt:lpstr>
      <vt:lpstr>'Salary Details'!Print_Area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beo chamba</cp:lastModifiedBy>
  <cp:lastPrinted>2025-01-17T05:25:00Z</cp:lastPrinted>
  <dcterms:created xsi:type="dcterms:W3CDTF">1996-10-14T23:33:00Z</dcterms:created>
  <dcterms:modified xsi:type="dcterms:W3CDTF">2025-01-25T07:09:04Z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44C9432639D441C8A64E892CCBD58B81_12</vt:lpwstr>
  </property>
  <property fmtid="{D5CDD505-2E9C-101B-9397-08002B2CF9AE}" pid="3" name="KSOProductBuildVer">
    <vt:lpwstr>1033-12.2.0.19805</vt:lpwstr>
  </property>
</Properties>
</file>